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st Freezes" sheetId="1" r:id="rId4"/>
    <sheet state="visible" name="Sheet4" sheetId="2" r:id="rId5"/>
    <sheet state="visible" name="Copy of Sheet4" sheetId="3" r:id="rId6"/>
    <sheet state="visible" name="Sheet2" sheetId="4" r:id="rId7"/>
    <sheet state="visible" name="Sheet3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9">
      <text>
        <t xml:space="preserve">@glenn.williams@celsius.network 
Hey Glenn, can you add the missing freezes?
_Assigned to Glenn Williams_
	-Ron Sabo
afternoon Ron.  Absolutely.  Both added
	-Glenn Williams
@glenn.williams@celsius.network
@arik.pupko@celsius.network
Hey Glenn, Once again there is a missing freeze here. We now have automated processs that analyze the freeze and they rely on this list to be the most up-to-date.
	-Ron Sabo
Morning Ron. Understood.  Link added.  Will add on freeze days moving forward
	-Glenn Williams</t>
      </text>
    </comment>
    <comment authorId="0" ref="A32">
      <text>
        <t xml:space="preserve">@glenn.williams@celsius.network Can you add here the latest freezes? and make sure you we keep this updated whenever a new freeze is updated?
We now have PNL process that uses this list as a source  (FYI - @arik.pupko@celsius.network)
	-Ron Sabo
Sure thing Ron.  Updated now.  Will update moving forward as well
	-Glenn Williams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7">
      <text>
        <t xml:space="preserve">AAVE liquiudty stress caused us to close $500m loan on 10/29
	-Ron Sabo</t>
      </text>
    </comment>
    <comment authorId="0" ref="J1">
      <text>
        <t xml:space="preserve">These values are only avilabe starting 10/22. Before that date it was trcked togther with the rest fo the defi deployement
	-Ron Sabo</t>
      </text>
    </comment>
  </commentList>
</comments>
</file>

<file path=xl/sharedStrings.xml><?xml version="1.0" encoding="utf-8"?>
<sst xmlns="http://schemas.openxmlformats.org/spreadsheetml/2006/main" count="263" uniqueCount="149">
  <si>
    <t>Date</t>
  </si>
  <si>
    <t>Freeze URL</t>
  </si>
  <si>
    <t>Note</t>
  </si>
  <si>
    <t>Day of Week</t>
  </si>
  <si>
    <t>https://docs.google.com/spreadsheets/d/1Snr5hQqQCUj912WHVS0XqXB8d0kYNX5sRAhjuBonThQ/edit#gid=2135279250</t>
  </si>
  <si>
    <t>https://docs.google.com/spreadsheets/d/15Bhwdhe_FDFAVvo-Kabo5L_rQ9JvTBb1tR0VE2Gu9sU/edit#gid=622029069</t>
  </si>
  <si>
    <t>https://docs.google.com/spreadsheets/d/1gTysv_SRYx92BmwaXQE1pkcVunF5kPmTlCqA5qpzcCU/edit#gid=622029069</t>
  </si>
  <si>
    <t>https://docs.google.com/spreadsheets/d/1RT1rfxt10cnPieHu4OZFg4N29CSyIjYvT2cGf4gVuVk/edit#gid=622029069</t>
  </si>
  <si>
    <t>https://docs.google.com/spreadsheets/d/1Wa37CsJrGOqz9vsmzMCK_d6insi1aEfsl9ThKP-gp98/edit#gid=622029069</t>
  </si>
  <si>
    <t>https://docs.google.com/spreadsheets/d/1lSetu7RJILWgdDUcsQTzooHuTAQhoi1AyrbFapY2s2s/edit#gid=622029069</t>
  </si>
  <si>
    <t>https://docs.google.com/spreadsheets/d/1Fpt02Z7IYyIAM_8tGeuPhQ2pNrFriITk4zKU1UFogyw/edit#gid=622029069</t>
  </si>
  <si>
    <t>https://docs.google.com/spreadsheets/d/1ndO6hS1i57aUcGc6LkGwirqM5rDr5vQ-RlKbYhmf-7A/edit#gid=622029069</t>
  </si>
  <si>
    <t>https://docs.google.com/spreadsheets/d/1X_9qOKVfxYB8SRIB29YjWu3Op9VndKvpyFx-BvFwx9U/edit#gid=622029069</t>
  </si>
  <si>
    <t>https://docs.google.com/spreadsheets/d/1xFNOsSTp7a5pEP84_GauaE9DssINfAEznCYqe90AWtA/edit#gid=622029069</t>
  </si>
  <si>
    <t>https://docs.google.com/spreadsheets/d/14wJif0S3W8TBA1TTV9p02i6DY6_3645aC2vzn4rbJto/edit#gid=622029069</t>
  </si>
  <si>
    <t>https://docs.google.com/spreadsheets/d/1Q8B3iDKvExYAIXlccoG68ezFgAuboTHZ42V_ut24_5U/edit#gid=622029069</t>
  </si>
  <si>
    <t>https://docs.google.com/spreadsheets/d/1CbB66igOAZDvuMltWAsD7kedcJBxNojNfVGwe35GKxk/edit#gid=622029069</t>
  </si>
  <si>
    <t>https://docs.google.com/spreadsheets/d/15udcUS_T7h_uzDvNuYTLASM1mIRpGTDgmDMrQJ5KTos/edit#gid=622029069</t>
  </si>
  <si>
    <t>https://docs.google.com/spreadsheets/d/1J_GDSdhXe-E6Tr4jshfVn9GZASaZ5x0WBBlCX90WTPo/edit#gid=622029069</t>
  </si>
  <si>
    <t>https://docs.google.com/spreadsheets/d/1hW7WGEQvWTuSo1h-9lhXdeLOX5GzRQ5LmqVLDsWr2mM/edit#gid=622029069</t>
  </si>
  <si>
    <t>https://docs.google.com/spreadsheets/d/1tGWdkvBHgVVt1Xb_9Gn9ID_k2CeojMbh8zA4N0uykP8/edit#gid=622029069</t>
  </si>
  <si>
    <t>https://docs.google.com/spreadsheets/d/1JQI7TJRfrALaSMy81x0eFiZlTu5hwAixA2ddRpL82pU/edit#gid=622029069</t>
  </si>
  <si>
    <t>August 24-prelim</t>
  </si>
  <si>
    <t>https://docs.google.com/spreadsheets/d/1ADNY1vjTouWSaGeYTrE75VJY9yxI4qSwlF6oB-3qH7M/edit#gid=622029069</t>
  </si>
  <si>
    <t>https://docs.google.com/spreadsheets/d/14k323azDPGbcs2Yb606D3_RU7EuR25wYrbxWcE6Avv4/edit#gid=622029069</t>
  </si>
  <si>
    <t>https://docs.google.com/spreadsheets/d/1YFUuoxlFCe0ZBOvX31Fp-OtzfzEvgOa2JfZ96Eoo75c/edit#gid=622029069</t>
  </si>
  <si>
    <t>https://docs.google.com/spreadsheets/d/1AlmGrWNltLFMiji81gfezXTQT4mb_1OMwPfIzzZXTrM/edit#gid=622029069</t>
  </si>
  <si>
    <t>September 3- prelim</t>
  </si>
  <si>
    <t>https://docs.google.com/spreadsheets/d/1CzqlXd6fW7lUOrsjf3NJdcioKvUzWuri8jAmX9Dx99s/edit#gid=622029069</t>
  </si>
  <si>
    <t>https://docs.google.com/spreadsheets/d/1dG8t2eOeVsdfRM0e-p5MxIJKUU2wJo-LGNnRM4oLMsc/edit#gid=622029069</t>
  </si>
  <si>
    <t>https://docs.google.com/spreadsheets/d/1FCZG2t4HXOOq6Ge8Wf7INMgha7_ts_V18n4GaX9ROXs/edit#gid=622029069</t>
  </si>
  <si>
    <t>September 10- prelim</t>
  </si>
  <si>
    <t>https://docs.google.com/spreadsheets/d/147ZIb29xXZ8_wwQYOyC_LpF1qNTomYQy8yVOmknBezw/edit#gid=263247883</t>
  </si>
  <si>
    <t>https://docs.google.com/spreadsheets/d/14BfQ2_DxJsx11gzWjRk1a7AUwFaX3HwL_snQrB7saD8/edit#gid=622029069</t>
  </si>
  <si>
    <t>September 21st Prelim</t>
  </si>
  <si>
    <t>https://docs.google.com/spreadsheets/d/14T050KTrEHowULGPmTDSkVAT9szMPy96Zck9JIYUg1Y/edit#gid=263247883</t>
  </si>
  <si>
    <t xml:space="preserve">September 21st </t>
  </si>
  <si>
    <t>https://docs.google.com/spreadsheets/d/18TrQZs4Iv6kmgRrqnKgspEj2M0iXdOG0bdYzvGSl51c/edit#gid=1256055019</t>
  </si>
  <si>
    <t>September 24th</t>
  </si>
  <si>
    <t>https://docs.google.com/spreadsheets/d/1zrBN1i-yvlEbiiPHtuYm6yBK2xAD1NtbuoQrr_ZI6-M/edit#gid=0</t>
  </si>
  <si>
    <t>September 28th</t>
  </si>
  <si>
    <t>https://docs.google.com/spreadsheets/d/143UvFbPUXfzPW8A92oADau1_KNA1suNquf9uGewGv9o/edit#gid=263247883</t>
  </si>
  <si>
    <t>September 30th</t>
  </si>
  <si>
    <t>https://docs.google.com/spreadsheets/d/1oGlR7AsWvbfbhbIwRIsgSaZBZTe9vlJomBKAUiov-3c/edit#gid=263247883</t>
  </si>
  <si>
    <t>October 5th</t>
  </si>
  <si>
    <t>https://docs.google.com/spreadsheets/d/1mfydxuq97mjh7d6VwY-6ggfJnGxy7GMzNvjvmlt5iKw/edit#gid=263247883</t>
  </si>
  <si>
    <t>October 8th</t>
  </si>
  <si>
    <t>https://docs.google.com/spreadsheets/d/1QnD-_fxBGQRm0kPVLGoIEuiJepPQZp5uHPYR-SqZxsk/edit#gid=0</t>
  </si>
  <si>
    <t>October 12th</t>
  </si>
  <si>
    <t>https://docs.google.com/spreadsheets/d/1ec3xqxK1orxk3pJg7TR2Fu0bMY60jtt-qpgfaHizDJo/edit#gid=0</t>
  </si>
  <si>
    <t>October 15th</t>
  </si>
  <si>
    <t>https://docs.google.com/spreadsheets/d/1H9XsuWuS2RR6IpIhOxg8XV_f79KsEh2C8sw2XVuC8Bw/edit#gid=263247883</t>
  </si>
  <si>
    <t>October 22nd</t>
  </si>
  <si>
    <t>https://docs.google.com/spreadsheets/d/10TgYwvdCU7xRjcL7cPw8qxtAAzxNXG3pVxm6SP9FpCw/edit#gid=263247883</t>
  </si>
  <si>
    <t>October 26th</t>
  </si>
  <si>
    <t>https://docs.google.com/spreadsheets/d/176dVLmMOcdgq_QVNkbsvJ3n9eZ4wui95GDIOv4YG1tc/edit#gid=0</t>
  </si>
  <si>
    <t>October 29th</t>
  </si>
  <si>
    <t>https://docs.google.com/spreadsheets/d/1GOnUFPE9o6dkL4P-Uy6IRg0ZgeTj3QwIQchP-_Og1lw/edit#gid=1630204704</t>
  </si>
  <si>
    <t>November 5th</t>
  </si>
  <si>
    <t>https://docs.google.com/spreadsheets/d/1aKqJRBxFlD3-a9zJfv5hIrOeQ5-kH2SPsofq9eDJ-wI/edit#gid=0</t>
  </si>
  <si>
    <t>November 9th</t>
  </si>
  <si>
    <t>https://docs.google.com/spreadsheets/d/1t4-XiBAnw4ZHXdFBrVeiYkS1hf6KG9-Zl8we9X7q1AQ/edit#gid=0</t>
  </si>
  <si>
    <t xml:space="preserve">November 12th </t>
  </si>
  <si>
    <t>https://docs.google.com/spreadsheets/d/1K7XE2HJWDz5MwIKoNEcODxi8yTAawlK9MKnRbg8NkGQ/edit#gid=0</t>
  </si>
  <si>
    <t>November 16th</t>
  </si>
  <si>
    <t>https://docs.google.com/spreadsheets/d/1DyWfgrfr3hRhdx8wokTpYqZtrmvrlTEjwIgKvWYYC-0/edit#gid=0</t>
  </si>
  <si>
    <t>November 19th</t>
  </si>
  <si>
    <t>https://docs.google.com/spreadsheets/d/1UIXREr-YjBRsyT2yiQB2yuwJbOHxzUZDvpnM531lePE/edit#gid=0</t>
  </si>
  <si>
    <t>November 23rd</t>
  </si>
  <si>
    <t>https://docs.google.com/spreadsheets/d/1zpgnBKcrqTvotVoNQL7_t1xyEBaN5x4NM62_9_L3Bvs/edit#gid=0</t>
  </si>
  <si>
    <t>November 26th</t>
  </si>
  <si>
    <t>https://docs.google.com/spreadsheets/d/1kCYPqNtGjdJdX765-pn1GdBkSFtgBFzaNeqZyyKUq9U/edit#gid=1827643887</t>
  </si>
  <si>
    <t>November 30th</t>
  </si>
  <si>
    <t>https://docs.google.com/spreadsheets/d/1kSrGkwvlWa6XA_8bDyf2jvNRydldcRkGMutFjkqDHl0/edit#gid=0</t>
  </si>
  <si>
    <t>December 3rd</t>
  </si>
  <si>
    <t>https://docs.google.com/spreadsheets/d/11KaZLnIXvUg9IW0o1410Jvs1WBkZB_fRQPhkYKm7XM4/edit#gid=0</t>
  </si>
  <si>
    <t>December 7th</t>
  </si>
  <si>
    <t>https://docs.google.com/spreadsheets/d/1GTkQCYVkmmOaXZhTJb9vzP1NCHO03f6qJPXdHnljbmc/edit#gid=0((((</t>
  </si>
  <si>
    <t>December 10th</t>
  </si>
  <si>
    <t>https://docs.google.com/spreadsheets/d/1KqnOVFE64kNqzoIoYukalRwH2zM8VYgbObv-9Hrk9hk/edit#gid=0</t>
  </si>
  <si>
    <t>December 14th</t>
  </si>
  <si>
    <t>https://docs.google.com/spreadsheets/d/19allSgCykMW10UuO7wBtBaxawtgca-RQceBwCxNYEtQ/edit#gid=0</t>
  </si>
  <si>
    <t>December 17th</t>
  </si>
  <si>
    <t>https://docs.google.com/spreadsheets/d/1tnCYCYriFGqePZfF3ild5DoMzXCceTeJsjHXL7hnSTU/edit#gid=0</t>
  </si>
  <si>
    <t>Tab</t>
  </si>
  <si>
    <t>Direct Staking</t>
  </si>
  <si>
    <t>Column</t>
  </si>
  <si>
    <t>Net Assets Total</t>
  </si>
  <si>
    <t>Row</t>
  </si>
  <si>
    <t>AAVE</t>
  </si>
  <si>
    <t>Find Col</t>
  </si>
  <si>
    <t>Find row</t>
  </si>
  <si>
    <t>Value</t>
  </si>
  <si>
    <t>assets</t>
  </si>
  <si>
    <t>liabilities</t>
  </si>
  <si>
    <t>net</t>
  </si>
  <si>
    <t>BTC</t>
  </si>
  <si>
    <t>ETH</t>
  </si>
  <si>
    <t>Freeze</t>
  </si>
  <si>
    <t xml:space="preserve">Date </t>
  </si>
  <si>
    <t>Tether loan</t>
  </si>
  <si>
    <t>Defi borrow</t>
  </si>
  <si>
    <t>Total Borrow</t>
  </si>
  <si>
    <t>Tether posted BTC</t>
  </si>
  <si>
    <t>btc price</t>
  </si>
  <si>
    <t>Tether Posted collateral</t>
  </si>
  <si>
    <t>Defi collateral</t>
  </si>
  <si>
    <t>Total colleteral</t>
  </si>
  <si>
    <t>undeplyoed + jacob</t>
  </si>
  <si>
    <t>undeployed</t>
  </si>
  <si>
    <t>AUM</t>
  </si>
  <si>
    <t>CEL users</t>
  </si>
  <si>
    <t>Cel tresury</t>
  </si>
  <si>
    <t>AUM - CEL</t>
  </si>
  <si>
    <t>undeployed % AUM</t>
  </si>
  <si>
    <t>ftx jacob</t>
  </si>
  <si>
    <t>undeployed + collateral % AUM</t>
  </si>
  <si>
    <t>1,754,330,000.00</t>
  </si>
  <si>
    <t>56,889.00</t>
  </si>
  <si>
    <t>Was included in Defi deployment</t>
  </si>
  <si>
    <t>1,954,330,000.00</t>
  </si>
  <si>
    <t>62,490.00</t>
  </si>
  <si>
    <t>1,984,330,000.00</t>
  </si>
  <si>
    <t>63,310.00</t>
  </si>
  <si>
    <t>1,936,330,000.00</t>
  </si>
  <si>
    <t>1,886,330,000.00</t>
  </si>
  <si>
    <t>1,501,330,000.00</t>
  </si>
  <si>
    <t>48,310.00</t>
  </si>
  <si>
    <t>48,310.01</t>
  </si>
  <si>
    <t>1,401,330,000.00</t>
  </si>
  <si>
    <t>36,810.01</t>
  </si>
  <si>
    <t>36,810.00</t>
  </si>
  <si>
    <t>1,101,330,000.00</t>
  </si>
  <si>
    <t>n/a</t>
  </si>
  <si>
    <t>27,000.00</t>
  </si>
  <si>
    <t>1,301,330,000.00</t>
  </si>
  <si>
    <t>31,425.00</t>
  </si>
  <si>
    <t>1,551,330,000.00</t>
  </si>
  <si>
    <t>37,025.00</t>
  </si>
  <si>
    <t>1,551,330,000.01</t>
  </si>
  <si>
    <t>37,025.01</t>
  </si>
  <si>
    <t>1,551,330,000.02</t>
  </si>
  <si>
    <t>37,025.02</t>
  </si>
  <si>
    <t>1,551,330,000.03</t>
  </si>
  <si>
    <t>37,025.03</t>
  </si>
  <si>
    <t>1,551,330,000.04</t>
  </si>
  <si>
    <t>37,025.04</t>
  </si>
  <si>
    <t>1,551,330,000.05</t>
  </si>
  <si>
    <t>37,025.05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</si>
</sst>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mm d"/>
    <numFmt numFmtId="165" formatCode="&quot;$&quot;#,##0.00"/>
    <numFmt numFmtId="166" formatCode="&quot;$&quot;#,##0"/>
    <numFmt numFmtId="167" formatCode="mm/dd/yyyy"/>
    <numFmt numFmtId="168" formatCode="m/d/yyyy"/>
  </numFmts>
  <fonts count="10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u/>
      <color rgb="FF0000FF"/>
    </font>
    <font>
      <u/>
      <color rgb="FF1155CC"/>
    </font>
    <font>
      <color rgb="FF000000"/>
      <name val="Roboto"/>
    </font>
    <font>
      <u/>
      <color rgb="FF0000FF"/>
    </font>
    <font>
      <sz val="11.0"/>
      <color rgb="FF000000"/>
      <name val="Inconsolata"/>
    </font>
    <font>
      <u/>
      <color rgb="FF0000FF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164" xfId="0" applyAlignment="1" applyFont="1" applyNumberFormat="1">
      <alignment horizontal="right"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readingOrder="0"/>
    </xf>
    <xf borderId="0" fillId="2" fontId="5" numFmtId="0" xfId="0" applyAlignment="1" applyFill="1" applyFont="1">
      <alignment readingOrder="0" shrinkToFit="0" wrapText="0"/>
    </xf>
    <xf borderId="0" fillId="0" fontId="1" numFmtId="0" xfId="0" applyFont="1"/>
    <xf borderId="0" fillId="2" fontId="5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1" numFmtId="164" xfId="0" applyFont="1" applyNumberFormat="1"/>
    <xf borderId="0" fillId="0" fontId="6" numFmtId="0" xfId="0" applyAlignment="1" applyFont="1">
      <alignment shrinkToFit="0" wrapText="0"/>
    </xf>
    <xf borderId="0" fillId="2" fontId="7" numFmtId="0" xfId="0" applyFont="1"/>
    <xf borderId="0" fillId="0" fontId="1" numFmtId="4" xfId="0" applyFont="1" applyNumberFormat="1"/>
    <xf borderId="0" fillId="0" fontId="1" numFmtId="4" xfId="0" applyAlignment="1" applyFont="1" applyNumberFormat="1">
      <alignment readingOrder="0"/>
    </xf>
    <xf borderId="0" fillId="2" fontId="7" numFmtId="4" xfId="0" applyFont="1" applyNumberFormat="1"/>
    <xf borderId="0" fillId="0" fontId="8" numFmtId="0" xfId="0" applyFont="1"/>
    <xf borderId="0" fillId="0" fontId="1" numFmtId="165" xfId="0" applyFont="1" applyNumberFormat="1"/>
    <xf borderId="0" fillId="0" fontId="1" numFmtId="3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3" xfId="0" applyFont="1" applyNumberFormat="1"/>
    <xf borderId="0" fillId="0" fontId="1" numFmtId="166" xfId="0" applyFont="1" applyNumberFormat="1"/>
    <xf borderId="0" fillId="2" fontId="7" numFmtId="166" xfId="0" applyFont="1" applyNumberFormat="1"/>
    <xf borderId="0" fillId="0" fontId="1" numFmtId="166" xfId="0" applyAlignment="1" applyFont="1" applyNumberFormat="1">
      <alignment readingOrder="0" shrinkToFit="0" wrapText="1"/>
    </xf>
    <xf borderId="0" fillId="2" fontId="7" numFmtId="165" xfId="0" applyFont="1" applyNumberFormat="1"/>
    <xf borderId="0" fillId="0" fontId="1" numFmtId="10" xfId="0" applyFont="1" applyNumberFormat="1"/>
    <xf borderId="0" fillId="0" fontId="1" numFmtId="168" xfId="0" applyAlignment="1" applyFont="1" applyNumberFormat="1">
      <alignment readingOrder="0"/>
    </xf>
    <xf borderId="0" fillId="0" fontId="9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spreadsheets/d/1GOnUFPE9o6dkL4P-Uy6IRg0ZgeTj3QwIQchP-_Og1lw/edit" TargetMode="External"/><Relationship Id="rId42" Type="http://schemas.openxmlformats.org/officeDocument/2006/relationships/hyperlink" Target="https://docs.google.com/spreadsheets/d/1t4-XiBAnw4ZHXdFBrVeiYkS1hf6KG9-Zl8we9X7q1AQ/edit" TargetMode="External"/><Relationship Id="rId41" Type="http://schemas.openxmlformats.org/officeDocument/2006/relationships/hyperlink" Target="https://docs.google.com/spreadsheets/d/1aKqJRBxFlD3-a9zJfv5hIrOeQ5-kH2SPsofq9eDJ-wI/edit" TargetMode="External"/><Relationship Id="rId44" Type="http://schemas.openxmlformats.org/officeDocument/2006/relationships/hyperlink" Target="https://docs.google.com/spreadsheets/d/1DyWfgrfr3hRhdx8wokTpYqZtrmvrlTEjwIgKvWYYC-0/edit" TargetMode="External"/><Relationship Id="rId43" Type="http://schemas.openxmlformats.org/officeDocument/2006/relationships/hyperlink" Target="https://docs.google.com/spreadsheets/d/1K7XE2HJWDz5MwIKoNEcODxi8yTAawlK9MKnRbg8NkGQ/edit" TargetMode="External"/><Relationship Id="rId46" Type="http://schemas.openxmlformats.org/officeDocument/2006/relationships/hyperlink" Target="https://docs.google.com/spreadsheets/d/1zpgnBKcrqTvotVoNQL7_t1xyEBaN5x4NM62_9_L3Bvs/edit" TargetMode="External"/><Relationship Id="rId45" Type="http://schemas.openxmlformats.org/officeDocument/2006/relationships/hyperlink" Target="https://docs.google.com/spreadsheets/d/1UIXREr-YjBRsyT2yiQB2yuwJbOHxzUZDvpnM531lePE/edit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ocs.google.com/spreadsheets/d/1Snr5hQqQCUj912WHVS0XqXB8d0kYNX5sRAhjuBonThQ/edit" TargetMode="External"/><Relationship Id="rId3" Type="http://schemas.openxmlformats.org/officeDocument/2006/relationships/hyperlink" Target="https://docs.google.com/spreadsheets/d/15Bhwdhe_FDFAVvo-Kabo5L_rQ9JvTBb1tR0VE2Gu9sU/edit" TargetMode="External"/><Relationship Id="rId4" Type="http://schemas.openxmlformats.org/officeDocument/2006/relationships/hyperlink" Target="https://docs.google.com/spreadsheets/d/1gTysv_SRYx92BmwaXQE1pkcVunF5kPmTlCqA5qpzcCU/edit" TargetMode="External"/><Relationship Id="rId9" Type="http://schemas.openxmlformats.org/officeDocument/2006/relationships/hyperlink" Target="https://docs.google.com/spreadsheets/d/1ndO6hS1i57aUcGc6LkGwirqM5rDr5vQ-RlKbYhmf-7A/edit" TargetMode="External"/><Relationship Id="rId48" Type="http://schemas.openxmlformats.org/officeDocument/2006/relationships/hyperlink" Target="https://docs.google.com/spreadsheets/d/1kSrGkwvlWa6XA_8bDyf2jvNRydldcRkGMutFjkqDHl0/edit" TargetMode="External"/><Relationship Id="rId47" Type="http://schemas.openxmlformats.org/officeDocument/2006/relationships/hyperlink" Target="https://docs.google.com/spreadsheets/d/1kCYPqNtGjdJdX765-pn1GdBkSFtgBFzaNeqZyyKUq9U/edit" TargetMode="External"/><Relationship Id="rId49" Type="http://schemas.openxmlformats.org/officeDocument/2006/relationships/hyperlink" Target="https://docs.google.com/spreadsheets/d/11KaZLnIXvUg9IW0o1410Jvs1WBkZB_fRQPhkYKm7XM4/edit" TargetMode="External"/><Relationship Id="rId5" Type="http://schemas.openxmlformats.org/officeDocument/2006/relationships/hyperlink" Target="https://docs.google.com/spreadsheets/d/1RT1rfxt10cnPieHu4OZFg4N29CSyIjYvT2cGf4gVuVk/edit" TargetMode="External"/><Relationship Id="rId6" Type="http://schemas.openxmlformats.org/officeDocument/2006/relationships/hyperlink" Target="https://docs.google.com/spreadsheets/d/1Wa37CsJrGOqz9vsmzMCK_d6insi1aEfsl9ThKP-gp98/edit" TargetMode="External"/><Relationship Id="rId7" Type="http://schemas.openxmlformats.org/officeDocument/2006/relationships/hyperlink" Target="https://docs.google.com/spreadsheets/d/1lSetu7RJILWgdDUcsQTzooHuTAQhoi1AyrbFapY2s2s/edit" TargetMode="External"/><Relationship Id="rId8" Type="http://schemas.openxmlformats.org/officeDocument/2006/relationships/hyperlink" Target="https://docs.google.com/spreadsheets/d/1Fpt02Z7IYyIAM_8tGeuPhQ2pNrFriITk4zKU1UFogyw/edit" TargetMode="External"/><Relationship Id="rId31" Type="http://schemas.openxmlformats.org/officeDocument/2006/relationships/hyperlink" Target="https://docs.google.com/spreadsheets/d/1zrBN1i-yvlEbiiPHtuYm6yBK2xAD1NtbuoQrr_ZI6-M/edit" TargetMode="External"/><Relationship Id="rId30" Type="http://schemas.openxmlformats.org/officeDocument/2006/relationships/hyperlink" Target="https://docs.google.com/spreadsheets/d/18TrQZs4Iv6kmgRrqnKgspEj2M0iXdOG0bdYzvGSl51c/edit" TargetMode="External"/><Relationship Id="rId33" Type="http://schemas.openxmlformats.org/officeDocument/2006/relationships/hyperlink" Target="https://docs.google.com/spreadsheets/d/1oGlR7AsWvbfbhbIwRIsgSaZBZTe9vlJomBKAUiov-3c/edit" TargetMode="External"/><Relationship Id="rId32" Type="http://schemas.openxmlformats.org/officeDocument/2006/relationships/hyperlink" Target="https://docs.google.com/spreadsheets/d/143UvFbPUXfzPW8A92oADau1_KNA1suNquf9uGewGv9o/edit" TargetMode="External"/><Relationship Id="rId35" Type="http://schemas.openxmlformats.org/officeDocument/2006/relationships/hyperlink" Target="https://docs.google.com/spreadsheets/d/1QnD-_fxBGQRm0kPVLGoIEuiJepPQZp5uHPYR-SqZxsk/edit" TargetMode="External"/><Relationship Id="rId34" Type="http://schemas.openxmlformats.org/officeDocument/2006/relationships/hyperlink" Target="https://docs.google.com/spreadsheets/d/1mfydxuq97mjh7d6VwY-6ggfJnGxy7GMzNvjvmlt5iKw/edit" TargetMode="External"/><Relationship Id="rId37" Type="http://schemas.openxmlformats.org/officeDocument/2006/relationships/hyperlink" Target="https://docs.google.com/spreadsheets/d/1H9XsuWuS2RR6IpIhOxg8XV_f79KsEh2C8sw2XVuC8Bw/edit" TargetMode="External"/><Relationship Id="rId36" Type="http://schemas.openxmlformats.org/officeDocument/2006/relationships/hyperlink" Target="https://docs.google.com/spreadsheets/d/1ec3xqxK1orxk3pJg7TR2Fu0bMY60jtt-qpgfaHizDJo/edit" TargetMode="External"/><Relationship Id="rId39" Type="http://schemas.openxmlformats.org/officeDocument/2006/relationships/hyperlink" Target="https://docs.google.com/spreadsheets/d/176dVLmMOcdgq_QVNkbsvJ3n9eZ4wui95GDIOv4YG1tc/edit" TargetMode="External"/><Relationship Id="rId38" Type="http://schemas.openxmlformats.org/officeDocument/2006/relationships/hyperlink" Target="https://docs.google.com/spreadsheets/d/10TgYwvdCU7xRjcL7cPw8qxtAAzxNXG3pVxm6SP9FpCw/edit" TargetMode="External"/><Relationship Id="rId20" Type="http://schemas.openxmlformats.org/officeDocument/2006/relationships/hyperlink" Target="https://docs.google.com/spreadsheets/d/1ADNY1vjTouWSaGeYTrE75VJY9yxI4qSwlF6oB-3qH7M/edit" TargetMode="External"/><Relationship Id="rId22" Type="http://schemas.openxmlformats.org/officeDocument/2006/relationships/hyperlink" Target="https://docs.google.com/spreadsheets/d/1YFUuoxlFCe0ZBOvX31Fp-OtzfzEvgOa2JfZ96Eoo75c/edit" TargetMode="External"/><Relationship Id="rId21" Type="http://schemas.openxmlformats.org/officeDocument/2006/relationships/hyperlink" Target="https://docs.google.com/spreadsheets/d/14k323azDPGbcs2Yb606D3_RU7EuR25wYrbxWcE6Avv4/edit" TargetMode="External"/><Relationship Id="rId24" Type="http://schemas.openxmlformats.org/officeDocument/2006/relationships/hyperlink" Target="https://docs.google.com/spreadsheets/d/1CzqlXd6fW7lUOrsjf3NJdcioKvUzWuri8jAmX9Dx99s/edit" TargetMode="External"/><Relationship Id="rId23" Type="http://schemas.openxmlformats.org/officeDocument/2006/relationships/hyperlink" Target="https://docs.google.com/spreadsheets/d/1AlmGrWNltLFMiji81gfezXTQT4mb_1OMwPfIzzZXTrM/edit" TargetMode="External"/><Relationship Id="rId26" Type="http://schemas.openxmlformats.org/officeDocument/2006/relationships/hyperlink" Target="https://docs.google.com/spreadsheets/d/1FCZG2t4HXOOq6Ge8Wf7INMgha7_ts_V18n4GaX9ROXs/edit" TargetMode="External"/><Relationship Id="rId25" Type="http://schemas.openxmlformats.org/officeDocument/2006/relationships/hyperlink" Target="https://docs.google.com/spreadsheets/d/1dG8t2eOeVsdfRM0e-p5MxIJKUU2wJo-LGNnRM4oLMsc/edit" TargetMode="External"/><Relationship Id="rId28" Type="http://schemas.openxmlformats.org/officeDocument/2006/relationships/hyperlink" Target="https://docs.google.com/spreadsheets/d/14BfQ2_DxJsx11gzWjRk1a7AUwFaX3HwL_snQrB7saD8/edit" TargetMode="External"/><Relationship Id="rId27" Type="http://schemas.openxmlformats.org/officeDocument/2006/relationships/hyperlink" Target="https://docs.google.com/spreadsheets/d/147ZIb29xXZ8_wwQYOyC_LpF1qNTomYQy8yVOmknBezw/edit" TargetMode="External"/><Relationship Id="rId29" Type="http://schemas.openxmlformats.org/officeDocument/2006/relationships/hyperlink" Target="https://docs.google.com/spreadsheets/d/14T050KTrEHowULGPmTDSkVAT9szMPy96Zck9JIYUg1Y/edit" TargetMode="External"/><Relationship Id="rId51" Type="http://schemas.openxmlformats.org/officeDocument/2006/relationships/hyperlink" Target="https://docs.google.com/spreadsheets/d/1KqnOVFE64kNqzoIoYukalRwH2zM8VYgbObv-9Hrk9hk/edit" TargetMode="External"/><Relationship Id="rId50" Type="http://schemas.openxmlformats.org/officeDocument/2006/relationships/hyperlink" Target="https://docs.google.com/spreadsheets/d/1GTkQCYVkmmOaXZhTJb9vzP1NCHO03f6qJPXdHnljbmc/edit" TargetMode="External"/><Relationship Id="rId53" Type="http://schemas.openxmlformats.org/officeDocument/2006/relationships/hyperlink" Target="https://docs.google.com/spreadsheets/d/1tnCYCYriFGqePZfF3ild5DoMzXCceTeJsjHXL7hnSTU/edit" TargetMode="External"/><Relationship Id="rId52" Type="http://schemas.openxmlformats.org/officeDocument/2006/relationships/hyperlink" Target="https://docs.google.com/spreadsheets/d/19allSgCykMW10UuO7wBtBaxawtgca-RQceBwCxNYEtQ/edit" TargetMode="External"/><Relationship Id="rId11" Type="http://schemas.openxmlformats.org/officeDocument/2006/relationships/hyperlink" Target="https://docs.google.com/spreadsheets/d/1xFNOsSTp7a5pEP84_GauaE9DssINfAEznCYqe90AWtA/edit" TargetMode="External"/><Relationship Id="rId55" Type="http://schemas.openxmlformats.org/officeDocument/2006/relationships/vmlDrawing" Target="../drawings/vmlDrawing1.vml"/><Relationship Id="rId10" Type="http://schemas.openxmlformats.org/officeDocument/2006/relationships/hyperlink" Target="https://docs.google.com/spreadsheets/d/1X_9qOKVfxYB8SRIB29YjWu3Op9VndKvpyFx-BvFwx9U/edit" TargetMode="External"/><Relationship Id="rId54" Type="http://schemas.openxmlformats.org/officeDocument/2006/relationships/drawing" Target="../drawings/drawing1.xml"/><Relationship Id="rId13" Type="http://schemas.openxmlformats.org/officeDocument/2006/relationships/hyperlink" Target="https://docs.google.com/spreadsheets/d/1Q8B3iDKvExYAIXlccoG68ezFgAuboTHZ42V_ut24_5U/edit" TargetMode="External"/><Relationship Id="rId12" Type="http://schemas.openxmlformats.org/officeDocument/2006/relationships/hyperlink" Target="https://docs.google.com/spreadsheets/d/14wJif0S3W8TBA1TTV9p02i6DY6_3645aC2vzn4rbJto/edit" TargetMode="External"/><Relationship Id="rId15" Type="http://schemas.openxmlformats.org/officeDocument/2006/relationships/hyperlink" Target="https://docs.google.com/spreadsheets/d/15udcUS_T7h_uzDvNuYTLASM1mIRpGTDgmDMrQJ5KTos/edit" TargetMode="External"/><Relationship Id="rId14" Type="http://schemas.openxmlformats.org/officeDocument/2006/relationships/hyperlink" Target="https://docs.google.com/spreadsheets/d/1CbB66igOAZDvuMltWAsD7kedcJBxNojNfVGwe35GKxk/edit" TargetMode="External"/><Relationship Id="rId17" Type="http://schemas.openxmlformats.org/officeDocument/2006/relationships/hyperlink" Target="https://docs.google.com/spreadsheets/d/1hW7WGEQvWTuSo1h-9lhXdeLOX5GzRQ5LmqVLDsWr2mM/edit" TargetMode="External"/><Relationship Id="rId16" Type="http://schemas.openxmlformats.org/officeDocument/2006/relationships/hyperlink" Target="https://docs.google.com/spreadsheets/d/1J_GDSdhXe-E6Tr4jshfVn9GZASaZ5x0WBBlCX90WTPo/edit" TargetMode="External"/><Relationship Id="rId19" Type="http://schemas.openxmlformats.org/officeDocument/2006/relationships/hyperlink" Target="https://docs.google.com/spreadsheets/d/1JQI7TJRfrALaSMy81x0eFiZlTu5hwAixA2ddRpL82pU/edit" TargetMode="External"/><Relationship Id="rId18" Type="http://schemas.openxmlformats.org/officeDocument/2006/relationships/hyperlink" Target="https://docs.google.com/spreadsheets/d/1tGWdkvBHgVVt1Xb_9Gn9ID_k2CeojMbh8zA4N0uykP8/edi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spreadsheets/d/1aKqJRBxFlD3-a9zJfv5hIrOeQ5-kH2SPsofq9eDJ-wI/edit" TargetMode="External"/><Relationship Id="rId42" Type="http://schemas.openxmlformats.org/officeDocument/2006/relationships/hyperlink" Target="https://docs.google.com/spreadsheets/d/1K7XE2HJWDz5MwIKoNEcODxi8yTAawlK9MKnRbg8NkGQ/edit" TargetMode="External"/><Relationship Id="rId41" Type="http://schemas.openxmlformats.org/officeDocument/2006/relationships/hyperlink" Target="https://docs.google.com/spreadsheets/d/1t4-XiBAnw4ZHXdFBrVeiYkS1hf6KG9-Zl8we9X7q1AQ/edit" TargetMode="External"/><Relationship Id="rId44" Type="http://schemas.openxmlformats.org/officeDocument/2006/relationships/hyperlink" Target="https://docs.google.com/spreadsheets/d/1UIXREr-YjBRsyT2yiQB2yuwJbOHxzUZDvpnM531lePE/edit" TargetMode="External"/><Relationship Id="rId43" Type="http://schemas.openxmlformats.org/officeDocument/2006/relationships/hyperlink" Target="https://docs.google.com/spreadsheets/d/1DyWfgrfr3hRhdx8wokTpYqZtrmvrlTEjwIgKvWYYC-0/edit" TargetMode="External"/><Relationship Id="rId46" Type="http://schemas.openxmlformats.org/officeDocument/2006/relationships/hyperlink" Target="https://docs.google.com/spreadsheets/d/1kCYPqNtGjdJdX765-pn1GdBkSFtgBFzaNeqZyyKUq9U/edit" TargetMode="External"/><Relationship Id="rId45" Type="http://schemas.openxmlformats.org/officeDocument/2006/relationships/hyperlink" Target="https://docs.google.com/spreadsheets/d/1zpgnBKcrqTvotVoNQL7_t1xyEBaN5x4NM62_9_L3Bvs/edit" TargetMode="External"/><Relationship Id="rId1" Type="http://schemas.openxmlformats.org/officeDocument/2006/relationships/hyperlink" Target="https://docs.google.com/spreadsheets/d/1Snr5hQqQCUj912WHVS0XqXB8d0kYNX5sRAhjuBonThQ/edit" TargetMode="External"/><Relationship Id="rId2" Type="http://schemas.openxmlformats.org/officeDocument/2006/relationships/hyperlink" Target="https://docs.google.com/spreadsheets/d/15Bhwdhe_FDFAVvo-Kabo5L_rQ9JvTBb1tR0VE2Gu9sU/edit" TargetMode="External"/><Relationship Id="rId3" Type="http://schemas.openxmlformats.org/officeDocument/2006/relationships/hyperlink" Target="https://docs.google.com/spreadsheets/d/1gTysv_SRYx92BmwaXQE1pkcVunF5kPmTlCqA5qpzcCU/edit" TargetMode="External"/><Relationship Id="rId4" Type="http://schemas.openxmlformats.org/officeDocument/2006/relationships/hyperlink" Target="https://docs.google.com/spreadsheets/d/1RT1rfxt10cnPieHu4OZFg4N29CSyIjYvT2cGf4gVuVk/edit" TargetMode="External"/><Relationship Id="rId9" Type="http://schemas.openxmlformats.org/officeDocument/2006/relationships/hyperlink" Target="https://docs.google.com/spreadsheets/d/1X_9qOKVfxYB8SRIB29YjWu3Op9VndKvpyFx-BvFwx9U/edit" TargetMode="External"/><Relationship Id="rId48" Type="http://schemas.openxmlformats.org/officeDocument/2006/relationships/hyperlink" Target="https://docs.google.com/spreadsheets/d/11KaZLnIXvUg9IW0o1410Jvs1WBkZB_fRQPhkYKm7XM4/edit" TargetMode="External"/><Relationship Id="rId47" Type="http://schemas.openxmlformats.org/officeDocument/2006/relationships/hyperlink" Target="https://docs.google.com/spreadsheets/d/1kSrGkwvlWa6XA_8bDyf2jvNRydldcRkGMutFjkqDHl0/edit" TargetMode="External"/><Relationship Id="rId49" Type="http://schemas.openxmlformats.org/officeDocument/2006/relationships/hyperlink" Target="https://docs.google.com/spreadsheets/d/1GTkQCYVkmmOaXZhTJb9vzP1NCHO03f6qJPXdHnljbmc/edit" TargetMode="External"/><Relationship Id="rId5" Type="http://schemas.openxmlformats.org/officeDocument/2006/relationships/hyperlink" Target="https://docs.google.com/spreadsheets/d/1Wa37CsJrGOqz9vsmzMCK_d6insi1aEfsl9ThKP-gp98/edit" TargetMode="External"/><Relationship Id="rId6" Type="http://schemas.openxmlformats.org/officeDocument/2006/relationships/hyperlink" Target="https://docs.google.com/spreadsheets/d/1lSetu7RJILWgdDUcsQTzooHuTAQhoi1AyrbFapY2s2s/edit" TargetMode="External"/><Relationship Id="rId7" Type="http://schemas.openxmlformats.org/officeDocument/2006/relationships/hyperlink" Target="https://docs.google.com/spreadsheets/d/1Fpt02Z7IYyIAM_8tGeuPhQ2pNrFriITk4zKU1UFogyw/edit" TargetMode="External"/><Relationship Id="rId8" Type="http://schemas.openxmlformats.org/officeDocument/2006/relationships/hyperlink" Target="https://docs.google.com/spreadsheets/d/1ndO6hS1i57aUcGc6LkGwirqM5rDr5vQ-RlKbYhmf-7A/edit" TargetMode="External"/><Relationship Id="rId31" Type="http://schemas.openxmlformats.org/officeDocument/2006/relationships/hyperlink" Target="https://docs.google.com/spreadsheets/d/143UvFbPUXfzPW8A92oADau1_KNA1suNquf9uGewGv9o/edit" TargetMode="External"/><Relationship Id="rId30" Type="http://schemas.openxmlformats.org/officeDocument/2006/relationships/hyperlink" Target="https://docs.google.com/spreadsheets/d/1zrBN1i-yvlEbiiPHtuYm6yBK2xAD1NtbuoQrr_ZI6-M/edit" TargetMode="External"/><Relationship Id="rId33" Type="http://schemas.openxmlformats.org/officeDocument/2006/relationships/hyperlink" Target="https://docs.google.com/spreadsheets/d/1mfydxuq97mjh7d6VwY-6ggfJnGxy7GMzNvjvmlt5iKw/edit" TargetMode="External"/><Relationship Id="rId32" Type="http://schemas.openxmlformats.org/officeDocument/2006/relationships/hyperlink" Target="https://docs.google.com/spreadsheets/d/1oGlR7AsWvbfbhbIwRIsgSaZBZTe9vlJomBKAUiov-3c/edit" TargetMode="External"/><Relationship Id="rId35" Type="http://schemas.openxmlformats.org/officeDocument/2006/relationships/hyperlink" Target="https://docs.google.com/spreadsheets/d/1ec3xqxK1orxk3pJg7TR2Fu0bMY60jtt-qpgfaHizDJo/edit" TargetMode="External"/><Relationship Id="rId34" Type="http://schemas.openxmlformats.org/officeDocument/2006/relationships/hyperlink" Target="https://docs.google.com/spreadsheets/d/1QnD-_fxBGQRm0kPVLGoIEuiJepPQZp5uHPYR-SqZxsk/edit" TargetMode="External"/><Relationship Id="rId37" Type="http://schemas.openxmlformats.org/officeDocument/2006/relationships/hyperlink" Target="https://docs.google.com/spreadsheets/d/10TgYwvdCU7xRjcL7cPw8qxtAAzxNXG3pVxm6SP9FpCw/edit" TargetMode="External"/><Relationship Id="rId36" Type="http://schemas.openxmlformats.org/officeDocument/2006/relationships/hyperlink" Target="https://docs.google.com/spreadsheets/d/1H9XsuWuS2RR6IpIhOxg8XV_f79KsEh2C8sw2XVuC8Bw/edit" TargetMode="External"/><Relationship Id="rId39" Type="http://schemas.openxmlformats.org/officeDocument/2006/relationships/hyperlink" Target="https://docs.google.com/spreadsheets/d/1GOnUFPE9o6dkL4P-Uy6IRg0ZgeTj3QwIQchP-_Og1lw/edit" TargetMode="External"/><Relationship Id="rId38" Type="http://schemas.openxmlformats.org/officeDocument/2006/relationships/hyperlink" Target="https://docs.google.com/spreadsheets/d/176dVLmMOcdgq_QVNkbsvJ3n9eZ4wui95GDIOv4YG1tc/edit" TargetMode="External"/><Relationship Id="rId20" Type="http://schemas.openxmlformats.org/officeDocument/2006/relationships/hyperlink" Target="https://docs.google.com/spreadsheets/d/14k323azDPGbcs2Yb606D3_RU7EuR25wYrbxWcE6Avv4/edit" TargetMode="External"/><Relationship Id="rId22" Type="http://schemas.openxmlformats.org/officeDocument/2006/relationships/hyperlink" Target="https://docs.google.com/spreadsheets/d/1AlmGrWNltLFMiji81gfezXTQT4mb_1OMwPfIzzZXTrM/edit" TargetMode="External"/><Relationship Id="rId21" Type="http://schemas.openxmlformats.org/officeDocument/2006/relationships/hyperlink" Target="https://docs.google.com/spreadsheets/d/1YFUuoxlFCe0ZBOvX31Fp-OtzfzEvgOa2JfZ96Eoo75c/edit" TargetMode="External"/><Relationship Id="rId24" Type="http://schemas.openxmlformats.org/officeDocument/2006/relationships/hyperlink" Target="https://docs.google.com/spreadsheets/d/1dG8t2eOeVsdfRM0e-p5MxIJKUU2wJo-LGNnRM4oLMsc/edit" TargetMode="External"/><Relationship Id="rId23" Type="http://schemas.openxmlformats.org/officeDocument/2006/relationships/hyperlink" Target="https://docs.google.com/spreadsheets/d/1CzqlXd6fW7lUOrsjf3NJdcioKvUzWuri8jAmX9Dx99s/edit" TargetMode="External"/><Relationship Id="rId26" Type="http://schemas.openxmlformats.org/officeDocument/2006/relationships/hyperlink" Target="https://docs.google.com/spreadsheets/d/147ZIb29xXZ8_wwQYOyC_LpF1qNTomYQy8yVOmknBezw/edit" TargetMode="External"/><Relationship Id="rId25" Type="http://schemas.openxmlformats.org/officeDocument/2006/relationships/hyperlink" Target="https://docs.google.com/spreadsheets/d/1FCZG2t4HXOOq6Ge8Wf7INMgha7_ts_V18n4GaX9ROXs/edit" TargetMode="External"/><Relationship Id="rId28" Type="http://schemas.openxmlformats.org/officeDocument/2006/relationships/hyperlink" Target="https://docs.google.com/spreadsheets/d/14T050KTrEHowULGPmTDSkVAT9szMPy96Zck9JIYUg1Y/edit" TargetMode="External"/><Relationship Id="rId27" Type="http://schemas.openxmlformats.org/officeDocument/2006/relationships/hyperlink" Target="https://docs.google.com/spreadsheets/d/14BfQ2_DxJsx11gzWjRk1a7AUwFaX3HwL_snQrB7saD8/edit" TargetMode="External"/><Relationship Id="rId29" Type="http://schemas.openxmlformats.org/officeDocument/2006/relationships/hyperlink" Target="https://docs.google.com/spreadsheets/d/18TrQZs4Iv6kmgRrqnKgspEj2M0iXdOG0bdYzvGSl51c/edit" TargetMode="External"/><Relationship Id="rId51" Type="http://schemas.openxmlformats.org/officeDocument/2006/relationships/hyperlink" Target="https://docs.google.com/spreadsheets/d/19allSgCykMW10UuO7wBtBaxawtgca-RQceBwCxNYEtQ/edit" TargetMode="External"/><Relationship Id="rId50" Type="http://schemas.openxmlformats.org/officeDocument/2006/relationships/hyperlink" Target="https://docs.google.com/spreadsheets/d/1KqnOVFE64kNqzoIoYukalRwH2zM8VYgbObv-9Hrk9hk/edit" TargetMode="External"/><Relationship Id="rId53" Type="http://schemas.openxmlformats.org/officeDocument/2006/relationships/drawing" Target="../drawings/drawing4.xml"/><Relationship Id="rId52" Type="http://schemas.openxmlformats.org/officeDocument/2006/relationships/hyperlink" Target="https://docs.google.com/spreadsheets/d/1tnCYCYriFGqePZfF3ild5DoMzXCceTeJsjHXL7hnSTU/edit" TargetMode="External"/><Relationship Id="rId11" Type="http://schemas.openxmlformats.org/officeDocument/2006/relationships/hyperlink" Target="https://docs.google.com/spreadsheets/d/14wJif0S3W8TBA1TTV9p02i6DY6_3645aC2vzn4rbJto/edit" TargetMode="External"/><Relationship Id="rId10" Type="http://schemas.openxmlformats.org/officeDocument/2006/relationships/hyperlink" Target="https://docs.google.com/spreadsheets/d/1xFNOsSTp7a5pEP84_GauaE9DssINfAEznCYqe90AWtA/edit" TargetMode="External"/><Relationship Id="rId13" Type="http://schemas.openxmlformats.org/officeDocument/2006/relationships/hyperlink" Target="https://docs.google.com/spreadsheets/d/1CbB66igOAZDvuMltWAsD7kedcJBxNojNfVGwe35GKxk/edit" TargetMode="External"/><Relationship Id="rId12" Type="http://schemas.openxmlformats.org/officeDocument/2006/relationships/hyperlink" Target="https://docs.google.com/spreadsheets/d/1Q8B3iDKvExYAIXlccoG68ezFgAuboTHZ42V_ut24_5U/edit" TargetMode="External"/><Relationship Id="rId15" Type="http://schemas.openxmlformats.org/officeDocument/2006/relationships/hyperlink" Target="https://docs.google.com/spreadsheets/d/1J_GDSdhXe-E6Tr4jshfVn9GZASaZ5x0WBBlCX90WTPo/edit" TargetMode="External"/><Relationship Id="rId14" Type="http://schemas.openxmlformats.org/officeDocument/2006/relationships/hyperlink" Target="https://docs.google.com/spreadsheets/d/15udcUS_T7h_uzDvNuYTLASM1mIRpGTDgmDMrQJ5KTos/edit" TargetMode="External"/><Relationship Id="rId17" Type="http://schemas.openxmlformats.org/officeDocument/2006/relationships/hyperlink" Target="https://docs.google.com/spreadsheets/d/1tGWdkvBHgVVt1Xb_9Gn9ID_k2CeojMbh8zA4N0uykP8/edit" TargetMode="External"/><Relationship Id="rId16" Type="http://schemas.openxmlformats.org/officeDocument/2006/relationships/hyperlink" Target="https://docs.google.com/spreadsheets/d/1hW7WGEQvWTuSo1h-9lhXdeLOX5GzRQ5LmqVLDsWr2mM/edit" TargetMode="External"/><Relationship Id="rId19" Type="http://schemas.openxmlformats.org/officeDocument/2006/relationships/hyperlink" Target="https://docs.google.com/spreadsheets/d/1ADNY1vjTouWSaGeYTrE75VJY9yxI4qSwlF6oB-3qH7M/edit" TargetMode="External"/><Relationship Id="rId18" Type="http://schemas.openxmlformats.org/officeDocument/2006/relationships/hyperlink" Target="https://docs.google.com/spreadsheets/d/1JQI7TJRfrALaSMy81x0eFiZlTu5hwAixA2ddRpL82pU/edit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2" max="2" width="106.29"/>
  </cols>
  <sheetData>
    <row r="1">
      <c r="D1" s="1"/>
    </row>
    <row r="2">
      <c r="A2" s="2" t="s">
        <v>0</v>
      </c>
      <c r="B2" s="2" t="s">
        <v>1</v>
      </c>
      <c r="C2" s="2" t="s">
        <v>2</v>
      </c>
      <c r="D2" s="2" t="s">
        <v>3</v>
      </c>
    </row>
    <row r="3">
      <c r="A3" s="3">
        <v>44330.0</v>
      </c>
      <c r="B3" s="4" t="s">
        <v>4</v>
      </c>
      <c r="D3" s="5">
        <v>5.0</v>
      </c>
    </row>
    <row r="4">
      <c r="A4" s="3">
        <v>44337.0</v>
      </c>
      <c r="B4" s="4" t="s">
        <v>5</v>
      </c>
      <c r="D4" s="5">
        <v>5.0</v>
      </c>
    </row>
    <row r="5">
      <c r="A5" s="3">
        <v>44340.0</v>
      </c>
      <c r="B5" s="4" t="s">
        <v>6</v>
      </c>
      <c r="D5" s="5">
        <v>1.0</v>
      </c>
    </row>
    <row r="6">
      <c r="A6" s="3">
        <v>44344.0</v>
      </c>
      <c r="B6" s="4" t="s">
        <v>7</v>
      </c>
      <c r="D6" s="5">
        <v>5.0</v>
      </c>
    </row>
    <row r="7">
      <c r="A7" s="3">
        <v>44351.0</v>
      </c>
      <c r="B7" s="4" t="s">
        <v>8</v>
      </c>
      <c r="D7" s="5">
        <v>5.0</v>
      </c>
    </row>
    <row r="8">
      <c r="A8" s="3">
        <v>44358.0</v>
      </c>
      <c r="B8" s="4" t="s">
        <v>9</v>
      </c>
      <c r="D8" s="5">
        <v>5.0</v>
      </c>
    </row>
    <row r="9">
      <c r="A9" s="3">
        <v>44365.0</v>
      </c>
      <c r="B9" s="4" t="s">
        <v>10</v>
      </c>
      <c r="D9" s="5">
        <v>5.0</v>
      </c>
    </row>
    <row r="10">
      <c r="A10" s="3">
        <v>44372.0</v>
      </c>
      <c r="B10" s="4" t="s">
        <v>11</v>
      </c>
      <c r="D10" s="5">
        <v>5.0</v>
      </c>
    </row>
    <row r="11">
      <c r="A11" s="3">
        <v>44377.0</v>
      </c>
      <c r="B11" s="4" t="s">
        <v>12</v>
      </c>
      <c r="D11" s="5">
        <v>3.0</v>
      </c>
    </row>
    <row r="12">
      <c r="A12" s="3">
        <v>44386.0</v>
      </c>
      <c r="B12" s="4" t="s">
        <v>13</v>
      </c>
      <c r="D12" s="5">
        <v>5.0</v>
      </c>
    </row>
    <row r="13">
      <c r="A13" s="3">
        <v>44393.0</v>
      </c>
      <c r="B13" s="4" t="s">
        <v>14</v>
      </c>
      <c r="D13" s="5">
        <v>5.0</v>
      </c>
    </row>
    <row r="14">
      <c r="A14" s="3">
        <v>44400.0</v>
      </c>
      <c r="B14" s="4" t="s">
        <v>15</v>
      </c>
      <c r="D14" s="5">
        <v>5.0</v>
      </c>
    </row>
    <row r="15">
      <c r="A15" s="3">
        <v>44407.0</v>
      </c>
      <c r="B15" s="4" t="s">
        <v>16</v>
      </c>
      <c r="D15" s="5">
        <v>5.0</v>
      </c>
    </row>
    <row r="16">
      <c r="A16" s="3">
        <v>44411.0</v>
      </c>
      <c r="B16" s="4" t="s">
        <v>17</v>
      </c>
      <c r="D16" s="5">
        <v>2.0</v>
      </c>
    </row>
    <row r="17">
      <c r="A17" s="3">
        <v>44414.0</v>
      </c>
      <c r="B17" s="4" t="s">
        <v>18</v>
      </c>
      <c r="D17" s="5">
        <v>5.0</v>
      </c>
    </row>
    <row r="18">
      <c r="A18" s="3">
        <v>44418.0</v>
      </c>
      <c r="B18" s="4" t="s">
        <v>19</v>
      </c>
      <c r="D18" s="5">
        <v>2.0</v>
      </c>
    </row>
    <row r="19">
      <c r="A19" s="3">
        <v>44421.0</v>
      </c>
      <c r="B19" s="4" t="s">
        <v>20</v>
      </c>
      <c r="D19" s="5">
        <v>5.0</v>
      </c>
    </row>
    <row r="20">
      <c r="A20" s="3">
        <v>44428.0</v>
      </c>
      <c r="B20" s="4" t="s">
        <v>21</v>
      </c>
      <c r="D20" s="5">
        <v>5.0</v>
      </c>
    </row>
    <row r="21">
      <c r="A21" s="6" t="s">
        <v>22</v>
      </c>
      <c r="B21" s="4" t="s">
        <v>23</v>
      </c>
      <c r="D21" s="5">
        <v>2.0</v>
      </c>
    </row>
    <row r="22">
      <c r="A22" s="3">
        <v>44432.0</v>
      </c>
      <c r="B22" s="4" t="s">
        <v>24</v>
      </c>
      <c r="D22" s="5">
        <v>2.0</v>
      </c>
    </row>
    <row r="23">
      <c r="A23" s="3">
        <v>44435.0</v>
      </c>
      <c r="B23" s="4" t="s">
        <v>25</v>
      </c>
      <c r="D23" s="5">
        <v>5.0</v>
      </c>
    </row>
    <row r="24">
      <c r="A24" s="3">
        <v>44439.0</v>
      </c>
      <c r="B24" s="4" t="s">
        <v>26</v>
      </c>
      <c r="D24" s="5">
        <v>2.0</v>
      </c>
    </row>
    <row r="25">
      <c r="A25" s="6" t="s">
        <v>27</v>
      </c>
      <c r="B25" s="4" t="s">
        <v>28</v>
      </c>
      <c r="D25" s="5">
        <v>5.0</v>
      </c>
    </row>
    <row r="26">
      <c r="A26" s="3">
        <v>44442.0</v>
      </c>
      <c r="B26" s="4" t="s">
        <v>29</v>
      </c>
      <c r="D26" s="5">
        <v>5.0</v>
      </c>
    </row>
    <row r="27">
      <c r="A27" s="3">
        <v>44446.0</v>
      </c>
      <c r="B27" s="4" t="s">
        <v>30</v>
      </c>
      <c r="D27" s="5">
        <v>2.0</v>
      </c>
    </row>
    <row r="28">
      <c r="A28" s="6" t="s">
        <v>31</v>
      </c>
      <c r="B28" s="4" t="s">
        <v>32</v>
      </c>
      <c r="D28" s="5">
        <v>5.0</v>
      </c>
    </row>
    <row r="29">
      <c r="A29" s="3">
        <v>44456.0</v>
      </c>
      <c r="B29" s="7" t="s">
        <v>33</v>
      </c>
      <c r="D29" s="5">
        <v>5.0</v>
      </c>
    </row>
    <row r="30">
      <c r="A30" s="6" t="s">
        <v>34</v>
      </c>
      <c r="B30" s="4" t="s">
        <v>35</v>
      </c>
      <c r="D30" s="5">
        <v>2.0</v>
      </c>
    </row>
    <row r="31">
      <c r="A31" s="6" t="s">
        <v>36</v>
      </c>
      <c r="B31" s="7" t="s">
        <v>37</v>
      </c>
      <c r="D31" s="5">
        <v>2.0</v>
      </c>
    </row>
    <row r="32">
      <c r="A32" s="6" t="s">
        <v>38</v>
      </c>
      <c r="B32" s="4" t="s">
        <v>39</v>
      </c>
      <c r="D32" s="5">
        <v>5.0</v>
      </c>
    </row>
    <row r="33">
      <c r="A33" s="6" t="s">
        <v>40</v>
      </c>
      <c r="B33" s="4" t="s">
        <v>41</v>
      </c>
      <c r="D33" s="5">
        <v>2.0</v>
      </c>
    </row>
    <row r="34">
      <c r="A34" s="6" t="s">
        <v>42</v>
      </c>
      <c r="B34" s="7" t="s">
        <v>43</v>
      </c>
      <c r="D34" s="5">
        <v>4.0</v>
      </c>
    </row>
    <row r="35">
      <c r="A35" s="6" t="s">
        <v>44</v>
      </c>
      <c r="B35" s="4" t="s">
        <v>45</v>
      </c>
      <c r="D35" s="5">
        <v>2.0</v>
      </c>
    </row>
    <row r="36">
      <c r="A36" s="6" t="s">
        <v>46</v>
      </c>
      <c r="B36" s="4" t="s">
        <v>47</v>
      </c>
      <c r="D36" s="5">
        <v>5.0</v>
      </c>
    </row>
    <row r="37">
      <c r="A37" s="6" t="s">
        <v>48</v>
      </c>
      <c r="B37" s="4" t="s">
        <v>49</v>
      </c>
      <c r="D37" s="5">
        <v>2.0</v>
      </c>
    </row>
    <row r="38">
      <c r="A38" s="6" t="s">
        <v>50</v>
      </c>
      <c r="B38" s="7" t="s">
        <v>51</v>
      </c>
      <c r="D38" s="5">
        <v>5.0</v>
      </c>
    </row>
    <row r="39">
      <c r="A39" s="6" t="s">
        <v>52</v>
      </c>
      <c r="B39" s="4" t="s">
        <v>53</v>
      </c>
      <c r="D39" s="5">
        <v>5.0</v>
      </c>
    </row>
    <row r="40">
      <c r="A40" s="6" t="s">
        <v>54</v>
      </c>
      <c r="B40" s="4" t="s">
        <v>55</v>
      </c>
      <c r="D40" s="5">
        <v>2.0</v>
      </c>
    </row>
    <row r="41">
      <c r="A41" s="6" t="s">
        <v>56</v>
      </c>
      <c r="B41" s="4" t="s">
        <v>57</v>
      </c>
      <c r="D41" s="5">
        <v>5.0</v>
      </c>
    </row>
    <row r="42">
      <c r="A42" s="6" t="s">
        <v>58</v>
      </c>
      <c r="B42" s="4" t="s">
        <v>59</v>
      </c>
      <c r="D42" s="5">
        <v>5.0</v>
      </c>
    </row>
    <row r="43">
      <c r="A43" s="6" t="s">
        <v>60</v>
      </c>
      <c r="B43" s="4" t="s">
        <v>61</v>
      </c>
      <c r="D43" s="5">
        <v>2.0</v>
      </c>
    </row>
    <row r="44">
      <c r="A44" s="6" t="s">
        <v>62</v>
      </c>
      <c r="B44" s="4" t="s">
        <v>63</v>
      </c>
      <c r="D44" s="5">
        <v>5.0</v>
      </c>
    </row>
    <row r="45">
      <c r="A45" s="6" t="s">
        <v>64</v>
      </c>
      <c r="B45" s="4" t="s">
        <v>65</v>
      </c>
      <c r="D45" s="5">
        <v>2.0</v>
      </c>
    </row>
    <row r="46">
      <c r="A46" s="6" t="s">
        <v>66</v>
      </c>
      <c r="B46" s="4" t="s">
        <v>67</v>
      </c>
      <c r="D46" s="5">
        <v>5.0</v>
      </c>
    </row>
    <row r="47">
      <c r="A47" s="6" t="s">
        <v>68</v>
      </c>
      <c r="B47" s="4" t="s">
        <v>69</v>
      </c>
      <c r="D47" s="5">
        <v>2.0</v>
      </c>
    </row>
    <row r="48">
      <c r="A48" s="6" t="s">
        <v>70</v>
      </c>
      <c r="B48" s="7" t="s">
        <v>71</v>
      </c>
      <c r="D48" s="5">
        <v>5.0</v>
      </c>
    </row>
    <row r="49">
      <c r="A49" s="6" t="s">
        <v>72</v>
      </c>
      <c r="B49" s="4" t="s">
        <v>73</v>
      </c>
      <c r="D49" s="5">
        <v>2.0</v>
      </c>
    </row>
    <row r="50">
      <c r="A50" s="6" t="s">
        <v>74</v>
      </c>
      <c r="B50" s="4" t="s">
        <v>75</v>
      </c>
      <c r="D50" s="5">
        <v>5.0</v>
      </c>
    </row>
    <row r="51">
      <c r="A51" s="6" t="s">
        <v>76</v>
      </c>
      <c r="B51" s="7" t="s">
        <v>77</v>
      </c>
      <c r="D51" s="5">
        <v>2.0</v>
      </c>
    </row>
    <row r="52">
      <c r="A52" s="6" t="s">
        <v>78</v>
      </c>
      <c r="B52" s="7" t="s">
        <v>79</v>
      </c>
      <c r="D52" s="5">
        <v>5.0</v>
      </c>
    </row>
    <row r="53">
      <c r="A53" s="6" t="s">
        <v>80</v>
      </c>
      <c r="B53" s="4" t="s">
        <v>81</v>
      </c>
      <c r="D53" s="5">
        <v>2.0</v>
      </c>
    </row>
    <row r="54">
      <c r="A54" s="6" t="s">
        <v>82</v>
      </c>
      <c r="B54" s="4" t="s">
        <v>83</v>
      </c>
      <c r="D54" s="5">
        <v>5.0</v>
      </c>
    </row>
    <row r="55">
      <c r="A55" s="8"/>
      <c r="D55" s="1"/>
    </row>
    <row r="56">
      <c r="A56" s="8"/>
      <c r="D56" s="1"/>
    </row>
    <row r="57">
      <c r="A57" s="8"/>
      <c r="D57" s="1"/>
    </row>
    <row r="58">
      <c r="A58" s="8"/>
      <c r="D58" s="1"/>
    </row>
    <row r="59">
      <c r="A59" s="8"/>
      <c r="D59" s="1"/>
    </row>
    <row r="60">
      <c r="A60" s="8"/>
      <c r="D60" s="1"/>
    </row>
    <row r="61">
      <c r="A61" s="8"/>
      <c r="D61" s="1"/>
    </row>
    <row r="62">
      <c r="A62" s="8"/>
      <c r="D62" s="1"/>
    </row>
    <row r="63">
      <c r="A63" s="8"/>
      <c r="D63" s="1"/>
    </row>
    <row r="64">
      <c r="A64" s="8"/>
      <c r="D64" s="1"/>
    </row>
    <row r="65">
      <c r="A65" s="8"/>
      <c r="D65" s="1"/>
    </row>
    <row r="66">
      <c r="A66" s="8"/>
      <c r="D66" s="1"/>
    </row>
    <row r="67">
      <c r="A67" s="8"/>
      <c r="D67" s="1"/>
    </row>
    <row r="68">
      <c r="A68" s="8"/>
      <c r="D68" s="1"/>
    </row>
    <row r="69">
      <c r="A69" s="8"/>
      <c r="D69" s="1"/>
    </row>
    <row r="70">
      <c r="A70" s="8"/>
      <c r="D70" s="1"/>
    </row>
    <row r="71">
      <c r="A71" s="8"/>
      <c r="D71" s="1"/>
    </row>
    <row r="72">
      <c r="A72" s="8"/>
      <c r="D72" s="1"/>
    </row>
    <row r="73">
      <c r="A73" s="8"/>
      <c r="D73" s="1"/>
    </row>
    <row r="74">
      <c r="A74" s="8"/>
      <c r="D74" s="1"/>
    </row>
    <row r="75">
      <c r="A75" s="8"/>
      <c r="D75" s="1"/>
    </row>
    <row r="76">
      <c r="A76" s="8"/>
      <c r="D76" s="1"/>
    </row>
    <row r="77">
      <c r="A77" s="8"/>
      <c r="D77" s="1"/>
    </row>
    <row r="78">
      <c r="A78" s="8"/>
      <c r="D78" s="1"/>
    </row>
    <row r="79">
      <c r="A79" s="8"/>
      <c r="D79" s="1"/>
    </row>
    <row r="80">
      <c r="A80" s="8"/>
      <c r="D80" s="1"/>
    </row>
    <row r="81">
      <c r="A81" s="8"/>
      <c r="D81" s="1"/>
    </row>
    <row r="82">
      <c r="A82" s="8"/>
      <c r="D82" s="1"/>
    </row>
    <row r="83">
      <c r="A83" s="8"/>
      <c r="D83" s="1"/>
    </row>
    <row r="84">
      <c r="A84" s="8"/>
      <c r="D84" s="1"/>
    </row>
    <row r="85">
      <c r="A85" s="8"/>
      <c r="D85" s="1"/>
    </row>
    <row r="86">
      <c r="A86" s="8"/>
      <c r="D86" s="1"/>
    </row>
    <row r="87">
      <c r="A87" s="8"/>
      <c r="D87" s="1"/>
    </row>
    <row r="88">
      <c r="A88" s="8"/>
      <c r="D88" s="1"/>
    </row>
    <row r="89">
      <c r="A89" s="8"/>
      <c r="D89" s="1"/>
    </row>
    <row r="90">
      <c r="A90" s="8"/>
      <c r="D90" s="1"/>
    </row>
    <row r="91">
      <c r="A91" s="8"/>
      <c r="D91" s="1"/>
    </row>
    <row r="92">
      <c r="A92" s="8"/>
      <c r="D92" s="1"/>
    </row>
    <row r="93">
      <c r="A93" s="8"/>
      <c r="D93" s="1"/>
    </row>
    <row r="94">
      <c r="A94" s="8"/>
      <c r="D94" s="1"/>
    </row>
    <row r="95">
      <c r="A95" s="8"/>
      <c r="D95" s="1"/>
    </row>
    <row r="96">
      <c r="A96" s="8"/>
      <c r="D96" s="1"/>
    </row>
    <row r="97">
      <c r="A97" s="8"/>
      <c r="D97" s="1"/>
    </row>
    <row r="98">
      <c r="A98" s="8"/>
      <c r="D98" s="1"/>
    </row>
    <row r="99">
      <c r="A99" s="8"/>
      <c r="D99" s="1"/>
    </row>
    <row r="100">
      <c r="A100" s="8"/>
      <c r="D100" s="1"/>
    </row>
    <row r="101">
      <c r="A101" s="8"/>
      <c r="D101" s="1"/>
    </row>
    <row r="102">
      <c r="A102" s="8"/>
      <c r="D102" s="1"/>
    </row>
    <row r="103">
      <c r="A103" s="8"/>
      <c r="D103" s="1"/>
    </row>
    <row r="104">
      <c r="A104" s="8"/>
      <c r="D104" s="1"/>
    </row>
    <row r="105">
      <c r="A105" s="8"/>
      <c r="D105" s="1"/>
    </row>
    <row r="106">
      <c r="A106" s="8"/>
      <c r="D106" s="1"/>
    </row>
    <row r="107">
      <c r="A107" s="8"/>
      <c r="D107" s="1"/>
    </row>
    <row r="108">
      <c r="A108" s="8"/>
      <c r="D108" s="1"/>
    </row>
    <row r="109">
      <c r="A109" s="8"/>
      <c r="D109" s="1"/>
    </row>
    <row r="110">
      <c r="A110" s="8"/>
      <c r="D110" s="1"/>
    </row>
    <row r="111">
      <c r="A111" s="8"/>
      <c r="D111" s="1"/>
    </row>
    <row r="112">
      <c r="A112" s="8"/>
      <c r="D112" s="1"/>
    </row>
    <row r="113">
      <c r="A113" s="8"/>
      <c r="D113" s="1"/>
    </row>
    <row r="114">
      <c r="A114" s="8"/>
      <c r="D114" s="1"/>
    </row>
    <row r="115">
      <c r="A115" s="8"/>
      <c r="D115" s="1"/>
    </row>
    <row r="116">
      <c r="A116" s="8"/>
      <c r="D116" s="1"/>
    </row>
    <row r="117">
      <c r="A117" s="8"/>
      <c r="D117" s="1"/>
    </row>
    <row r="118">
      <c r="A118" s="8"/>
      <c r="D118" s="1"/>
    </row>
    <row r="119">
      <c r="A119" s="8"/>
      <c r="D119" s="1"/>
    </row>
    <row r="120">
      <c r="A120" s="8"/>
      <c r="D120" s="1"/>
    </row>
    <row r="121">
      <c r="A121" s="8"/>
      <c r="D121" s="1"/>
    </row>
    <row r="122">
      <c r="A122" s="8"/>
      <c r="D122" s="1"/>
    </row>
    <row r="123">
      <c r="A123" s="8"/>
      <c r="D123" s="1"/>
    </row>
    <row r="124">
      <c r="A124" s="8"/>
      <c r="D124" s="1"/>
    </row>
    <row r="125">
      <c r="A125" s="8"/>
      <c r="D125" s="1"/>
    </row>
    <row r="126">
      <c r="A126" s="8"/>
      <c r="D126" s="1"/>
    </row>
    <row r="127">
      <c r="A127" s="8"/>
      <c r="D127" s="1"/>
    </row>
    <row r="128">
      <c r="A128" s="8"/>
      <c r="D128" s="1"/>
    </row>
    <row r="129">
      <c r="A129" s="8"/>
      <c r="D129" s="1"/>
    </row>
    <row r="130">
      <c r="A130" s="8"/>
      <c r="D130" s="1"/>
    </row>
    <row r="131">
      <c r="A131" s="8"/>
      <c r="D131" s="1"/>
    </row>
    <row r="132">
      <c r="A132" s="8"/>
      <c r="D132" s="1"/>
    </row>
    <row r="133">
      <c r="A133" s="8"/>
      <c r="D133" s="1"/>
    </row>
    <row r="134">
      <c r="A134" s="8"/>
      <c r="D134" s="1"/>
    </row>
    <row r="135">
      <c r="A135" s="8"/>
      <c r="D135" s="1"/>
    </row>
    <row r="136">
      <c r="A136" s="8"/>
      <c r="D136" s="1"/>
    </row>
    <row r="137">
      <c r="A137" s="8"/>
      <c r="D137" s="1"/>
    </row>
    <row r="138">
      <c r="A138" s="8"/>
      <c r="D138" s="1"/>
    </row>
    <row r="139">
      <c r="A139" s="8"/>
      <c r="D139" s="1"/>
    </row>
    <row r="140">
      <c r="A140" s="8"/>
      <c r="D140" s="1"/>
    </row>
    <row r="141">
      <c r="A141" s="8"/>
      <c r="D141" s="1"/>
    </row>
    <row r="142">
      <c r="A142" s="8"/>
      <c r="D142" s="1"/>
    </row>
    <row r="143">
      <c r="A143" s="8"/>
      <c r="D143" s="1"/>
    </row>
    <row r="144">
      <c r="A144" s="8"/>
      <c r="D144" s="1"/>
    </row>
    <row r="145">
      <c r="A145" s="8"/>
      <c r="D145" s="1"/>
    </row>
    <row r="146">
      <c r="A146" s="8"/>
      <c r="D146" s="1"/>
    </row>
    <row r="147">
      <c r="A147" s="8"/>
      <c r="D147" s="1"/>
    </row>
    <row r="148">
      <c r="A148" s="8"/>
      <c r="D148" s="1"/>
    </row>
    <row r="149">
      <c r="A149" s="8"/>
      <c r="D149" s="1"/>
    </row>
    <row r="150">
      <c r="A150" s="8"/>
      <c r="D150" s="1"/>
    </row>
    <row r="151">
      <c r="A151" s="8"/>
      <c r="D151" s="1"/>
    </row>
    <row r="152">
      <c r="A152" s="8"/>
      <c r="D152" s="1"/>
    </row>
    <row r="153">
      <c r="A153" s="8"/>
      <c r="D153" s="1"/>
    </row>
    <row r="154">
      <c r="A154" s="8"/>
      <c r="D154" s="1"/>
    </row>
    <row r="155">
      <c r="A155" s="8"/>
      <c r="D155" s="1"/>
    </row>
    <row r="156">
      <c r="A156" s="8"/>
      <c r="D156" s="1"/>
    </row>
    <row r="157">
      <c r="A157" s="8"/>
      <c r="D157" s="1"/>
    </row>
    <row r="158">
      <c r="A158" s="8"/>
      <c r="D158" s="1"/>
    </row>
    <row r="159">
      <c r="A159" s="8"/>
      <c r="D159" s="1"/>
    </row>
    <row r="160">
      <c r="A160" s="8"/>
      <c r="D160" s="1"/>
    </row>
    <row r="161">
      <c r="A161" s="8"/>
      <c r="D161" s="1"/>
    </row>
    <row r="162">
      <c r="A162" s="8"/>
      <c r="D162" s="1"/>
    </row>
    <row r="163">
      <c r="A163" s="8"/>
      <c r="D163" s="1"/>
    </row>
    <row r="164">
      <c r="A164" s="8"/>
      <c r="D164" s="1"/>
    </row>
    <row r="165">
      <c r="A165" s="8"/>
      <c r="D165" s="1"/>
    </row>
    <row r="166">
      <c r="A166" s="8"/>
      <c r="D166" s="1"/>
    </row>
    <row r="167">
      <c r="A167" s="8"/>
      <c r="D167" s="1"/>
    </row>
    <row r="168">
      <c r="A168" s="8"/>
      <c r="D168" s="1"/>
    </row>
    <row r="169">
      <c r="A169" s="8"/>
      <c r="D169" s="1"/>
    </row>
    <row r="170">
      <c r="A170" s="8"/>
      <c r="D170" s="1"/>
    </row>
    <row r="171">
      <c r="A171" s="8"/>
      <c r="D171" s="1"/>
    </row>
    <row r="172">
      <c r="A172" s="8"/>
      <c r="D172" s="1"/>
    </row>
    <row r="173">
      <c r="A173" s="8"/>
      <c r="D173" s="1"/>
    </row>
    <row r="174">
      <c r="A174" s="8"/>
      <c r="D174" s="1"/>
    </row>
    <row r="175">
      <c r="A175" s="8"/>
      <c r="D175" s="1"/>
    </row>
    <row r="176">
      <c r="A176" s="8"/>
      <c r="D176" s="1"/>
    </row>
    <row r="177">
      <c r="A177" s="8"/>
      <c r="D177" s="1"/>
    </row>
    <row r="178">
      <c r="A178" s="8"/>
      <c r="D178" s="1"/>
    </row>
    <row r="179">
      <c r="A179" s="8"/>
      <c r="D179" s="1"/>
    </row>
    <row r="180">
      <c r="A180" s="8"/>
      <c r="D180" s="1"/>
    </row>
    <row r="181">
      <c r="A181" s="8"/>
      <c r="D181" s="1"/>
    </row>
    <row r="182">
      <c r="A182" s="8"/>
      <c r="D182" s="1"/>
    </row>
    <row r="183">
      <c r="A183" s="8"/>
      <c r="D183" s="1"/>
    </row>
    <row r="184">
      <c r="A184" s="8"/>
      <c r="D184" s="1"/>
    </row>
    <row r="185">
      <c r="A185" s="8"/>
      <c r="D185" s="1"/>
    </row>
    <row r="186">
      <c r="A186" s="8"/>
      <c r="D186" s="1"/>
    </row>
    <row r="187">
      <c r="A187" s="8"/>
      <c r="D187" s="1"/>
    </row>
    <row r="188">
      <c r="A188" s="8"/>
      <c r="D188" s="1"/>
    </row>
    <row r="189">
      <c r="A189" s="8"/>
      <c r="D189" s="1"/>
    </row>
    <row r="190">
      <c r="A190" s="8"/>
      <c r="D190" s="1"/>
    </row>
    <row r="191">
      <c r="A191" s="8"/>
      <c r="D191" s="1"/>
    </row>
    <row r="192">
      <c r="A192" s="8"/>
      <c r="D192" s="1"/>
    </row>
    <row r="193">
      <c r="A193" s="8"/>
      <c r="D193" s="1"/>
    </row>
    <row r="194">
      <c r="A194" s="8"/>
      <c r="D194" s="1"/>
    </row>
    <row r="195">
      <c r="A195" s="8"/>
      <c r="D195" s="1"/>
    </row>
    <row r="196">
      <c r="A196" s="8"/>
      <c r="D196" s="1"/>
    </row>
    <row r="197">
      <c r="A197" s="8"/>
      <c r="D197" s="1"/>
    </row>
    <row r="198">
      <c r="A198" s="8"/>
      <c r="D198" s="1"/>
    </row>
    <row r="199">
      <c r="A199" s="8"/>
      <c r="D199" s="1"/>
    </row>
    <row r="200">
      <c r="A200" s="8"/>
      <c r="D200" s="1"/>
    </row>
    <row r="201">
      <c r="A201" s="8"/>
      <c r="D201" s="1"/>
    </row>
    <row r="202">
      <c r="A202" s="8"/>
      <c r="D202" s="1"/>
    </row>
    <row r="203">
      <c r="A203" s="8"/>
      <c r="D203" s="1"/>
    </row>
    <row r="204">
      <c r="A204" s="8"/>
      <c r="D204" s="1"/>
    </row>
    <row r="205">
      <c r="A205" s="8"/>
      <c r="D205" s="1"/>
    </row>
    <row r="206">
      <c r="A206" s="8"/>
      <c r="D206" s="1"/>
    </row>
    <row r="207">
      <c r="A207" s="8"/>
      <c r="D207" s="1"/>
    </row>
    <row r="208">
      <c r="A208" s="8"/>
      <c r="D208" s="1"/>
    </row>
    <row r="209">
      <c r="A209" s="8"/>
      <c r="D209" s="1"/>
    </row>
    <row r="210">
      <c r="A210" s="8"/>
      <c r="D210" s="1"/>
    </row>
    <row r="211">
      <c r="A211" s="8"/>
      <c r="D211" s="1"/>
    </row>
    <row r="212">
      <c r="A212" s="8"/>
      <c r="D212" s="1"/>
    </row>
    <row r="213">
      <c r="A213" s="8"/>
      <c r="D213" s="1"/>
    </row>
    <row r="214">
      <c r="A214" s="8"/>
      <c r="D214" s="1"/>
    </row>
    <row r="215">
      <c r="A215" s="8"/>
      <c r="D215" s="1"/>
    </row>
    <row r="216">
      <c r="A216" s="8"/>
      <c r="D216" s="1"/>
    </row>
    <row r="217">
      <c r="A217" s="8"/>
      <c r="D217" s="1"/>
    </row>
    <row r="218">
      <c r="A218" s="8"/>
      <c r="D218" s="1"/>
    </row>
    <row r="219">
      <c r="A219" s="8"/>
      <c r="D219" s="1"/>
    </row>
    <row r="220">
      <c r="A220" s="8"/>
      <c r="D220" s="1"/>
    </row>
    <row r="221">
      <c r="A221" s="8"/>
      <c r="D221" s="1"/>
    </row>
    <row r="222">
      <c r="A222" s="8"/>
      <c r="D222" s="1"/>
    </row>
    <row r="223">
      <c r="A223" s="8"/>
      <c r="D223" s="1"/>
    </row>
    <row r="224">
      <c r="A224" s="8"/>
      <c r="D224" s="1"/>
    </row>
    <row r="225">
      <c r="A225" s="8"/>
      <c r="D225" s="1"/>
    </row>
    <row r="226">
      <c r="A226" s="8"/>
      <c r="D226" s="1"/>
    </row>
    <row r="227">
      <c r="A227" s="8"/>
      <c r="D227" s="1"/>
    </row>
    <row r="228">
      <c r="A228" s="8"/>
      <c r="D228" s="1"/>
    </row>
    <row r="229">
      <c r="A229" s="8"/>
      <c r="D229" s="1"/>
    </row>
    <row r="230">
      <c r="A230" s="8"/>
      <c r="D230" s="1"/>
    </row>
    <row r="231">
      <c r="A231" s="8"/>
      <c r="D231" s="1"/>
    </row>
    <row r="232">
      <c r="A232" s="8"/>
      <c r="D232" s="1"/>
    </row>
    <row r="233">
      <c r="A233" s="8"/>
      <c r="D233" s="1"/>
    </row>
    <row r="234">
      <c r="A234" s="8"/>
      <c r="D234" s="1"/>
    </row>
    <row r="235">
      <c r="A235" s="8"/>
      <c r="D235" s="1"/>
    </row>
    <row r="236">
      <c r="A236" s="8"/>
      <c r="D236" s="1"/>
    </row>
    <row r="237">
      <c r="A237" s="8"/>
      <c r="D237" s="1"/>
    </row>
    <row r="238">
      <c r="A238" s="8"/>
      <c r="D238" s="1"/>
    </row>
    <row r="239">
      <c r="A239" s="8"/>
      <c r="D239" s="1"/>
    </row>
    <row r="240">
      <c r="A240" s="8"/>
      <c r="D240" s="1"/>
    </row>
    <row r="241">
      <c r="A241" s="8"/>
      <c r="D241" s="1"/>
    </row>
    <row r="242">
      <c r="A242" s="8"/>
      <c r="D242" s="1"/>
    </row>
    <row r="243">
      <c r="A243" s="8"/>
      <c r="D243" s="1"/>
    </row>
    <row r="244">
      <c r="A244" s="8"/>
      <c r="D244" s="1"/>
    </row>
    <row r="245">
      <c r="A245" s="8"/>
      <c r="D245" s="1"/>
    </row>
    <row r="246">
      <c r="A246" s="8"/>
      <c r="D246" s="1"/>
    </row>
    <row r="247">
      <c r="A247" s="8"/>
      <c r="D247" s="1"/>
    </row>
    <row r="248">
      <c r="A248" s="8"/>
      <c r="D248" s="1"/>
    </row>
    <row r="249">
      <c r="A249" s="8"/>
      <c r="D249" s="1"/>
    </row>
    <row r="250">
      <c r="A250" s="8"/>
      <c r="D250" s="1"/>
    </row>
    <row r="251">
      <c r="A251" s="8"/>
      <c r="D251" s="1"/>
    </row>
    <row r="252">
      <c r="A252" s="8"/>
      <c r="D252" s="1"/>
    </row>
    <row r="253">
      <c r="A253" s="8"/>
      <c r="D253" s="1"/>
    </row>
    <row r="254">
      <c r="A254" s="8"/>
      <c r="D254" s="1"/>
    </row>
    <row r="255">
      <c r="A255" s="8"/>
      <c r="D255" s="1"/>
    </row>
    <row r="256">
      <c r="A256" s="8"/>
      <c r="D256" s="1"/>
    </row>
    <row r="257">
      <c r="A257" s="8"/>
      <c r="D257" s="1"/>
    </row>
    <row r="258">
      <c r="A258" s="8"/>
      <c r="D258" s="1"/>
    </row>
    <row r="259">
      <c r="A259" s="8"/>
      <c r="D259" s="1"/>
    </row>
    <row r="260">
      <c r="A260" s="8"/>
      <c r="D260" s="1"/>
    </row>
    <row r="261">
      <c r="A261" s="8"/>
      <c r="D261" s="1"/>
    </row>
    <row r="262">
      <c r="A262" s="8"/>
      <c r="D262" s="1"/>
    </row>
    <row r="263">
      <c r="A263" s="8"/>
      <c r="D263" s="1"/>
    </row>
    <row r="264">
      <c r="A264" s="8"/>
      <c r="D264" s="1"/>
    </row>
    <row r="265">
      <c r="A265" s="8"/>
      <c r="D265" s="1"/>
    </row>
    <row r="266">
      <c r="A266" s="8"/>
      <c r="D266" s="1"/>
    </row>
    <row r="267">
      <c r="A267" s="8"/>
      <c r="D267" s="1"/>
    </row>
    <row r="268">
      <c r="A268" s="8"/>
      <c r="D268" s="1"/>
    </row>
    <row r="269">
      <c r="A269" s="8"/>
      <c r="D269" s="1"/>
    </row>
    <row r="270">
      <c r="A270" s="8"/>
      <c r="D270" s="1"/>
    </row>
    <row r="271">
      <c r="A271" s="8"/>
      <c r="D271" s="1"/>
    </row>
    <row r="272">
      <c r="A272" s="8"/>
      <c r="D272" s="1"/>
    </row>
    <row r="273">
      <c r="A273" s="8"/>
      <c r="D273" s="1"/>
    </row>
    <row r="274">
      <c r="A274" s="8"/>
      <c r="D274" s="1"/>
    </row>
    <row r="275">
      <c r="A275" s="8"/>
      <c r="D275" s="1"/>
    </row>
    <row r="276">
      <c r="A276" s="8"/>
      <c r="D276" s="1"/>
    </row>
    <row r="277">
      <c r="A277" s="8"/>
      <c r="D277" s="1"/>
    </row>
    <row r="278">
      <c r="A278" s="8"/>
      <c r="D278" s="1"/>
    </row>
    <row r="279">
      <c r="A279" s="8"/>
      <c r="D279" s="1"/>
    </row>
    <row r="280">
      <c r="A280" s="8"/>
      <c r="D280" s="1"/>
    </row>
    <row r="281">
      <c r="A281" s="8"/>
      <c r="D281" s="1"/>
    </row>
    <row r="282">
      <c r="A282" s="8"/>
      <c r="D282" s="1"/>
    </row>
    <row r="283">
      <c r="A283" s="8"/>
      <c r="D283" s="1"/>
    </row>
    <row r="284">
      <c r="A284" s="8"/>
      <c r="D284" s="1"/>
    </row>
    <row r="285">
      <c r="A285" s="8"/>
      <c r="D285" s="1"/>
    </row>
    <row r="286">
      <c r="A286" s="8"/>
      <c r="D286" s="1"/>
    </row>
    <row r="287">
      <c r="A287" s="8"/>
      <c r="D287" s="1"/>
    </row>
    <row r="288">
      <c r="A288" s="8"/>
      <c r="D288" s="1"/>
    </row>
    <row r="289">
      <c r="A289" s="8"/>
      <c r="D289" s="1"/>
    </row>
    <row r="290">
      <c r="A290" s="8"/>
      <c r="D290" s="1"/>
    </row>
    <row r="291">
      <c r="A291" s="8"/>
      <c r="D291" s="1"/>
    </row>
    <row r="292">
      <c r="A292" s="8"/>
      <c r="D292" s="1"/>
    </row>
    <row r="293">
      <c r="A293" s="8"/>
      <c r="D293" s="1"/>
    </row>
    <row r="294">
      <c r="A294" s="8"/>
      <c r="D294" s="1"/>
    </row>
    <row r="295">
      <c r="A295" s="8"/>
      <c r="D295" s="1"/>
    </row>
    <row r="296">
      <c r="A296" s="8"/>
      <c r="D296" s="1"/>
    </row>
    <row r="297">
      <c r="A297" s="8"/>
      <c r="D297" s="1"/>
    </row>
    <row r="298">
      <c r="A298" s="8"/>
      <c r="D298" s="1"/>
    </row>
    <row r="299">
      <c r="A299" s="8"/>
      <c r="D299" s="1"/>
    </row>
    <row r="300">
      <c r="A300" s="8"/>
      <c r="D300" s="1"/>
    </row>
    <row r="301">
      <c r="A301" s="8"/>
      <c r="D301" s="1"/>
    </row>
    <row r="302">
      <c r="A302" s="8"/>
      <c r="D302" s="1"/>
    </row>
    <row r="303">
      <c r="A303" s="8"/>
      <c r="D303" s="1"/>
    </row>
    <row r="304">
      <c r="A304" s="8"/>
      <c r="D304" s="1"/>
    </row>
    <row r="305">
      <c r="A305" s="8"/>
      <c r="D305" s="1"/>
    </row>
    <row r="306">
      <c r="A306" s="8"/>
      <c r="D306" s="1"/>
    </row>
    <row r="307">
      <c r="A307" s="8"/>
      <c r="D307" s="1"/>
    </row>
    <row r="308">
      <c r="A308" s="8"/>
      <c r="D308" s="1"/>
    </row>
    <row r="309">
      <c r="A309" s="8"/>
      <c r="D309" s="1"/>
    </row>
    <row r="310">
      <c r="A310" s="8"/>
      <c r="D310" s="1"/>
    </row>
    <row r="311">
      <c r="A311" s="8"/>
      <c r="D311" s="1"/>
    </row>
    <row r="312">
      <c r="A312" s="8"/>
      <c r="D312" s="1"/>
    </row>
    <row r="313">
      <c r="A313" s="8"/>
      <c r="D313" s="1"/>
    </row>
    <row r="314">
      <c r="A314" s="8"/>
      <c r="D314" s="1"/>
    </row>
    <row r="315">
      <c r="A315" s="8"/>
      <c r="D315" s="1"/>
    </row>
    <row r="316">
      <c r="A316" s="8"/>
      <c r="D316" s="1"/>
    </row>
    <row r="317">
      <c r="A317" s="8"/>
      <c r="D317" s="1"/>
    </row>
    <row r="318">
      <c r="A318" s="8"/>
      <c r="D318" s="1"/>
    </row>
    <row r="319">
      <c r="A319" s="8"/>
      <c r="D319" s="1"/>
    </row>
    <row r="320">
      <c r="A320" s="8"/>
      <c r="D320" s="1"/>
    </row>
    <row r="321">
      <c r="A321" s="8"/>
      <c r="D321" s="1"/>
    </row>
    <row r="322">
      <c r="A322" s="8"/>
      <c r="D322" s="1"/>
    </row>
    <row r="323">
      <c r="A323" s="8"/>
      <c r="D323" s="1"/>
    </row>
    <row r="324">
      <c r="A324" s="8"/>
      <c r="D324" s="1"/>
    </row>
    <row r="325">
      <c r="A325" s="8"/>
      <c r="D325" s="1"/>
    </row>
    <row r="326">
      <c r="A326" s="8"/>
      <c r="D326" s="1"/>
    </row>
    <row r="327">
      <c r="A327" s="8"/>
      <c r="D327" s="1"/>
    </row>
    <row r="328">
      <c r="A328" s="8"/>
      <c r="D328" s="1"/>
    </row>
    <row r="329">
      <c r="A329" s="8"/>
      <c r="D329" s="1"/>
    </row>
    <row r="330">
      <c r="A330" s="8"/>
      <c r="D330" s="1"/>
    </row>
    <row r="331">
      <c r="A331" s="8"/>
      <c r="D331" s="1"/>
    </row>
    <row r="332">
      <c r="A332" s="8"/>
      <c r="D332" s="1"/>
    </row>
    <row r="333">
      <c r="A333" s="8"/>
      <c r="D333" s="1"/>
    </row>
    <row r="334">
      <c r="A334" s="8"/>
      <c r="D334" s="1"/>
    </row>
    <row r="335">
      <c r="A335" s="8"/>
      <c r="D335" s="1"/>
    </row>
    <row r="336">
      <c r="A336" s="8"/>
      <c r="D336" s="1"/>
    </row>
    <row r="337">
      <c r="A337" s="8"/>
      <c r="D337" s="1"/>
    </row>
    <row r="338">
      <c r="A338" s="8"/>
      <c r="D338" s="1"/>
    </row>
    <row r="339">
      <c r="A339" s="8"/>
      <c r="D339" s="1"/>
    </row>
    <row r="340">
      <c r="A340" s="8"/>
      <c r="D340" s="1"/>
    </row>
    <row r="341">
      <c r="A341" s="8"/>
      <c r="D341" s="1"/>
    </row>
    <row r="342">
      <c r="A342" s="8"/>
      <c r="D342" s="1"/>
    </row>
    <row r="343">
      <c r="A343" s="8"/>
      <c r="D343" s="1"/>
    </row>
    <row r="344">
      <c r="A344" s="8"/>
      <c r="D344" s="1"/>
    </row>
    <row r="345">
      <c r="A345" s="8"/>
      <c r="D345" s="1"/>
    </row>
    <row r="346">
      <c r="A346" s="8"/>
      <c r="D346" s="1"/>
    </row>
    <row r="347">
      <c r="A347" s="8"/>
      <c r="D347" s="1"/>
    </row>
    <row r="348">
      <c r="A348" s="8"/>
      <c r="D348" s="1"/>
    </row>
    <row r="349">
      <c r="A349" s="8"/>
      <c r="D349" s="1"/>
    </row>
    <row r="350">
      <c r="A350" s="8"/>
      <c r="D350" s="1"/>
    </row>
    <row r="351">
      <c r="A351" s="8"/>
      <c r="D351" s="1"/>
    </row>
    <row r="352">
      <c r="A352" s="8"/>
      <c r="D352" s="1"/>
    </row>
    <row r="353">
      <c r="A353" s="8"/>
      <c r="D353" s="1"/>
    </row>
    <row r="354">
      <c r="A354" s="8"/>
      <c r="D354" s="1"/>
    </row>
    <row r="355">
      <c r="A355" s="8"/>
      <c r="D355" s="1"/>
    </row>
    <row r="356">
      <c r="A356" s="8"/>
      <c r="D356" s="1"/>
    </row>
    <row r="357">
      <c r="A357" s="8"/>
      <c r="D357" s="1"/>
    </row>
    <row r="358">
      <c r="A358" s="8"/>
      <c r="D358" s="1"/>
    </row>
    <row r="359">
      <c r="A359" s="8"/>
      <c r="D359" s="1"/>
    </row>
    <row r="360">
      <c r="A360" s="8"/>
      <c r="D360" s="1"/>
    </row>
    <row r="361">
      <c r="A361" s="8"/>
      <c r="D361" s="1"/>
    </row>
    <row r="362">
      <c r="A362" s="8"/>
      <c r="D362" s="1"/>
    </row>
    <row r="363">
      <c r="A363" s="8"/>
      <c r="D363" s="1"/>
    </row>
    <row r="364">
      <c r="A364" s="8"/>
      <c r="D364" s="1"/>
    </row>
    <row r="365">
      <c r="A365" s="8"/>
      <c r="D365" s="1"/>
    </row>
    <row r="366">
      <c r="A366" s="8"/>
      <c r="D366" s="1"/>
    </row>
    <row r="367">
      <c r="A367" s="8"/>
      <c r="D367" s="1"/>
    </row>
    <row r="368">
      <c r="A368" s="8"/>
      <c r="D368" s="1"/>
    </row>
    <row r="369">
      <c r="A369" s="8"/>
      <c r="D369" s="1"/>
    </row>
    <row r="370">
      <c r="A370" s="8"/>
      <c r="D370" s="1"/>
    </row>
    <row r="371">
      <c r="A371" s="8"/>
      <c r="D371" s="1"/>
    </row>
    <row r="372">
      <c r="A372" s="8"/>
      <c r="D372" s="1"/>
    </row>
    <row r="373">
      <c r="A373" s="8"/>
      <c r="D373" s="1"/>
    </row>
    <row r="374">
      <c r="A374" s="8"/>
      <c r="D374" s="1"/>
    </row>
    <row r="375">
      <c r="A375" s="8"/>
      <c r="D375" s="1"/>
    </row>
    <row r="376">
      <c r="A376" s="8"/>
      <c r="D376" s="1"/>
    </row>
    <row r="377">
      <c r="A377" s="8"/>
      <c r="D377" s="1"/>
    </row>
    <row r="378">
      <c r="A378" s="8"/>
      <c r="D378" s="1"/>
    </row>
    <row r="379">
      <c r="A379" s="8"/>
      <c r="D379" s="1"/>
    </row>
    <row r="380">
      <c r="A380" s="8"/>
      <c r="D380" s="1"/>
    </row>
    <row r="381">
      <c r="A381" s="8"/>
      <c r="D381" s="1"/>
    </row>
    <row r="382">
      <c r="A382" s="8"/>
      <c r="D382" s="1"/>
    </row>
    <row r="383">
      <c r="A383" s="8"/>
      <c r="D383" s="1"/>
    </row>
    <row r="384">
      <c r="A384" s="8"/>
      <c r="D384" s="1"/>
    </row>
    <row r="385">
      <c r="A385" s="8"/>
      <c r="D385" s="1"/>
    </row>
    <row r="386">
      <c r="A386" s="8"/>
      <c r="D386" s="1"/>
    </row>
    <row r="387">
      <c r="A387" s="8"/>
      <c r="D387" s="1"/>
    </row>
    <row r="388">
      <c r="A388" s="8"/>
      <c r="D388" s="1"/>
    </row>
    <row r="389">
      <c r="A389" s="8"/>
      <c r="D389" s="1"/>
    </row>
    <row r="390">
      <c r="A390" s="8"/>
      <c r="D390" s="1"/>
    </row>
    <row r="391">
      <c r="A391" s="8"/>
      <c r="D391" s="1"/>
    </row>
    <row r="392">
      <c r="A392" s="8"/>
      <c r="D392" s="1"/>
    </row>
    <row r="393">
      <c r="A393" s="8"/>
      <c r="D393" s="1"/>
    </row>
    <row r="394">
      <c r="A394" s="8"/>
      <c r="D394" s="1"/>
    </row>
    <row r="395">
      <c r="A395" s="8"/>
      <c r="D395" s="1"/>
    </row>
    <row r="396">
      <c r="A396" s="8"/>
      <c r="D396" s="1"/>
    </row>
    <row r="397">
      <c r="A397" s="8"/>
      <c r="D397" s="1"/>
    </row>
    <row r="398">
      <c r="A398" s="8"/>
      <c r="D398" s="1"/>
    </row>
    <row r="399">
      <c r="A399" s="8"/>
      <c r="D399" s="1"/>
    </row>
    <row r="400">
      <c r="A400" s="8"/>
      <c r="D400" s="1"/>
    </row>
    <row r="401">
      <c r="A401" s="8"/>
      <c r="D401" s="1"/>
    </row>
    <row r="402">
      <c r="A402" s="8"/>
      <c r="D402" s="1"/>
    </row>
    <row r="403">
      <c r="A403" s="8"/>
      <c r="D403" s="1"/>
    </row>
    <row r="404">
      <c r="A404" s="8"/>
      <c r="D404" s="1"/>
    </row>
    <row r="405">
      <c r="A405" s="8"/>
      <c r="D405" s="1"/>
    </row>
    <row r="406">
      <c r="A406" s="8"/>
      <c r="D406" s="1"/>
    </row>
    <row r="407">
      <c r="A407" s="8"/>
      <c r="D407" s="1"/>
    </row>
    <row r="408">
      <c r="A408" s="8"/>
      <c r="D408" s="1"/>
    </row>
    <row r="409">
      <c r="A409" s="8"/>
      <c r="D409" s="1"/>
    </row>
    <row r="410">
      <c r="A410" s="8"/>
      <c r="D410" s="1"/>
    </row>
    <row r="411">
      <c r="A411" s="8"/>
      <c r="D411" s="1"/>
    </row>
    <row r="412">
      <c r="A412" s="8"/>
      <c r="D412" s="1"/>
    </row>
    <row r="413">
      <c r="A413" s="8"/>
      <c r="D413" s="1"/>
    </row>
    <row r="414">
      <c r="A414" s="8"/>
      <c r="D414" s="1"/>
    </row>
    <row r="415">
      <c r="A415" s="8"/>
      <c r="D415" s="1"/>
    </row>
    <row r="416">
      <c r="A416" s="8"/>
      <c r="D416" s="1"/>
    </row>
    <row r="417">
      <c r="A417" s="8"/>
      <c r="D417" s="1"/>
    </row>
    <row r="418">
      <c r="A418" s="8"/>
      <c r="D418" s="1"/>
    </row>
    <row r="419">
      <c r="A419" s="8"/>
      <c r="D419" s="1"/>
    </row>
    <row r="420">
      <c r="A420" s="8"/>
      <c r="D420" s="1"/>
    </row>
    <row r="421">
      <c r="A421" s="8"/>
      <c r="D421" s="1"/>
    </row>
    <row r="422">
      <c r="A422" s="8"/>
      <c r="D422" s="1"/>
    </row>
    <row r="423">
      <c r="A423" s="8"/>
      <c r="D423" s="1"/>
    </row>
    <row r="424">
      <c r="A424" s="8"/>
      <c r="D424" s="1"/>
    </row>
    <row r="425">
      <c r="A425" s="8"/>
      <c r="D425" s="1"/>
    </row>
    <row r="426">
      <c r="A426" s="8"/>
      <c r="D426" s="1"/>
    </row>
    <row r="427">
      <c r="A427" s="8"/>
      <c r="D427" s="1"/>
    </row>
    <row r="428">
      <c r="A428" s="8"/>
      <c r="D428" s="1"/>
    </row>
    <row r="429">
      <c r="A429" s="8"/>
      <c r="D429" s="1"/>
    </row>
    <row r="430">
      <c r="A430" s="8"/>
      <c r="D430" s="1"/>
    </row>
    <row r="431">
      <c r="A431" s="8"/>
      <c r="D431" s="1"/>
    </row>
    <row r="432">
      <c r="A432" s="8"/>
      <c r="D432" s="1"/>
    </row>
    <row r="433">
      <c r="A433" s="8"/>
      <c r="D433" s="1"/>
    </row>
    <row r="434">
      <c r="A434" s="8"/>
      <c r="D434" s="1"/>
    </row>
    <row r="435">
      <c r="A435" s="8"/>
      <c r="D435" s="1"/>
    </row>
    <row r="436">
      <c r="A436" s="8"/>
      <c r="D436" s="1"/>
    </row>
    <row r="437">
      <c r="A437" s="8"/>
      <c r="D437" s="1"/>
    </row>
    <row r="438">
      <c r="A438" s="8"/>
      <c r="D438" s="1"/>
    </row>
    <row r="439">
      <c r="A439" s="8"/>
      <c r="D439" s="1"/>
    </row>
    <row r="440">
      <c r="A440" s="8"/>
      <c r="D440" s="1"/>
    </row>
    <row r="441">
      <c r="A441" s="8"/>
      <c r="D441" s="1"/>
    </row>
    <row r="442">
      <c r="A442" s="8"/>
      <c r="D442" s="1"/>
    </row>
    <row r="443">
      <c r="A443" s="8"/>
      <c r="D443" s="1"/>
    </row>
    <row r="444">
      <c r="A444" s="8"/>
      <c r="D444" s="1"/>
    </row>
    <row r="445">
      <c r="A445" s="8"/>
      <c r="D445" s="1"/>
    </row>
    <row r="446">
      <c r="A446" s="8"/>
      <c r="D446" s="1"/>
    </row>
    <row r="447">
      <c r="A447" s="8"/>
      <c r="D447" s="1"/>
    </row>
    <row r="448">
      <c r="A448" s="8"/>
      <c r="D448" s="1"/>
    </row>
    <row r="449">
      <c r="A449" s="8"/>
      <c r="D449" s="1"/>
    </row>
    <row r="450">
      <c r="A450" s="8"/>
      <c r="D450" s="1"/>
    </row>
    <row r="451">
      <c r="A451" s="8"/>
      <c r="D451" s="1"/>
    </row>
    <row r="452">
      <c r="A452" s="8"/>
      <c r="D452" s="1"/>
    </row>
    <row r="453">
      <c r="A453" s="8"/>
      <c r="D453" s="1"/>
    </row>
    <row r="454">
      <c r="A454" s="8"/>
      <c r="D454" s="1"/>
    </row>
    <row r="455">
      <c r="A455" s="8"/>
      <c r="D455" s="1"/>
    </row>
    <row r="456">
      <c r="A456" s="8"/>
      <c r="D456" s="1"/>
    </row>
    <row r="457">
      <c r="A457" s="8"/>
      <c r="D457" s="1"/>
    </row>
    <row r="458">
      <c r="A458" s="8"/>
      <c r="D458" s="1"/>
    </row>
    <row r="459">
      <c r="A459" s="8"/>
      <c r="D459" s="1"/>
    </row>
    <row r="460">
      <c r="A460" s="8"/>
      <c r="D460" s="1"/>
    </row>
    <row r="461">
      <c r="A461" s="8"/>
      <c r="D461" s="1"/>
    </row>
    <row r="462">
      <c r="A462" s="8"/>
      <c r="D462" s="1"/>
    </row>
    <row r="463">
      <c r="A463" s="8"/>
      <c r="D463" s="1"/>
    </row>
    <row r="464">
      <c r="A464" s="8"/>
      <c r="D464" s="1"/>
    </row>
    <row r="465">
      <c r="A465" s="8"/>
      <c r="D465" s="1"/>
    </row>
    <row r="466">
      <c r="A466" s="8"/>
      <c r="D466" s="1"/>
    </row>
    <row r="467">
      <c r="A467" s="8"/>
      <c r="D467" s="1"/>
    </row>
    <row r="468">
      <c r="A468" s="8"/>
      <c r="D468" s="1"/>
    </row>
    <row r="469">
      <c r="A469" s="8"/>
      <c r="D469" s="1"/>
    </row>
    <row r="470">
      <c r="A470" s="8"/>
      <c r="D470" s="1"/>
    </row>
    <row r="471">
      <c r="A471" s="8"/>
      <c r="D471" s="1"/>
    </row>
    <row r="472">
      <c r="A472" s="8"/>
      <c r="D472" s="1"/>
    </row>
    <row r="473">
      <c r="A473" s="8"/>
      <c r="D473" s="1"/>
    </row>
    <row r="474">
      <c r="A474" s="8"/>
      <c r="D474" s="1"/>
    </row>
    <row r="475">
      <c r="A475" s="8"/>
      <c r="D475" s="1"/>
    </row>
    <row r="476">
      <c r="A476" s="8"/>
      <c r="D476" s="1"/>
    </row>
    <row r="477">
      <c r="A477" s="8"/>
      <c r="D477" s="1"/>
    </row>
    <row r="478">
      <c r="A478" s="8"/>
      <c r="D478" s="1"/>
    </row>
    <row r="479">
      <c r="A479" s="8"/>
      <c r="D479" s="1"/>
    </row>
    <row r="480">
      <c r="A480" s="8"/>
      <c r="D480" s="1"/>
    </row>
    <row r="481">
      <c r="A481" s="8"/>
      <c r="D481" s="1"/>
    </row>
    <row r="482">
      <c r="A482" s="8"/>
      <c r="D482" s="1"/>
    </row>
    <row r="483">
      <c r="A483" s="8"/>
      <c r="D483" s="1"/>
    </row>
    <row r="484">
      <c r="A484" s="8"/>
      <c r="D484" s="1"/>
    </row>
    <row r="485">
      <c r="A485" s="8"/>
      <c r="D485" s="1"/>
    </row>
    <row r="486">
      <c r="A486" s="8"/>
      <c r="D486" s="1"/>
    </row>
    <row r="487">
      <c r="A487" s="8"/>
      <c r="D487" s="1"/>
    </row>
    <row r="488">
      <c r="A488" s="8"/>
      <c r="D488" s="1"/>
    </row>
    <row r="489">
      <c r="A489" s="8"/>
      <c r="D489" s="1"/>
    </row>
    <row r="490">
      <c r="A490" s="8"/>
      <c r="D490" s="1"/>
    </row>
    <row r="491">
      <c r="A491" s="8"/>
      <c r="D491" s="1"/>
    </row>
    <row r="492">
      <c r="A492" s="8"/>
      <c r="D492" s="1"/>
    </row>
    <row r="493">
      <c r="A493" s="8"/>
      <c r="D493" s="1"/>
    </row>
    <row r="494">
      <c r="A494" s="8"/>
      <c r="D494" s="1"/>
    </row>
    <row r="495">
      <c r="A495" s="8"/>
      <c r="D495" s="1"/>
    </row>
    <row r="496">
      <c r="A496" s="8"/>
      <c r="D496" s="1"/>
    </row>
    <row r="497">
      <c r="A497" s="8"/>
      <c r="D497" s="1"/>
    </row>
    <row r="498">
      <c r="A498" s="8"/>
      <c r="D498" s="1"/>
    </row>
    <row r="499">
      <c r="A499" s="8"/>
      <c r="D499" s="1"/>
    </row>
    <row r="500">
      <c r="A500" s="8"/>
      <c r="D500" s="1"/>
    </row>
    <row r="501">
      <c r="A501" s="8"/>
      <c r="D501" s="1"/>
    </row>
    <row r="502">
      <c r="A502" s="8"/>
      <c r="D502" s="1"/>
    </row>
    <row r="503">
      <c r="A503" s="8"/>
      <c r="D503" s="1"/>
    </row>
    <row r="504">
      <c r="A504" s="8"/>
      <c r="D504" s="1"/>
    </row>
    <row r="505">
      <c r="A505" s="8"/>
      <c r="D505" s="1"/>
    </row>
    <row r="506">
      <c r="A506" s="8"/>
      <c r="D506" s="1"/>
    </row>
    <row r="507">
      <c r="A507" s="8"/>
      <c r="D507" s="1"/>
    </row>
    <row r="508">
      <c r="A508" s="8"/>
      <c r="D508" s="1"/>
    </row>
    <row r="509">
      <c r="A509" s="8"/>
      <c r="D509" s="1"/>
    </row>
    <row r="510">
      <c r="A510" s="8"/>
      <c r="D510" s="1"/>
    </row>
    <row r="511">
      <c r="A511" s="8"/>
      <c r="D511" s="1"/>
    </row>
    <row r="512">
      <c r="A512" s="8"/>
      <c r="D512" s="1"/>
    </row>
    <row r="513">
      <c r="A513" s="8"/>
      <c r="D513" s="1"/>
    </row>
    <row r="514">
      <c r="A514" s="8"/>
      <c r="D514" s="1"/>
    </row>
    <row r="515">
      <c r="A515" s="8"/>
      <c r="D515" s="1"/>
    </row>
    <row r="516">
      <c r="A516" s="8"/>
      <c r="D516" s="1"/>
    </row>
    <row r="517">
      <c r="A517" s="8"/>
      <c r="D517" s="1"/>
    </row>
    <row r="518">
      <c r="A518" s="8"/>
      <c r="D518" s="1"/>
    </row>
    <row r="519">
      <c r="A519" s="8"/>
      <c r="D519" s="1"/>
    </row>
    <row r="520">
      <c r="A520" s="8"/>
      <c r="D520" s="1"/>
    </row>
    <row r="521">
      <c r="A521" s="8"/>
      <c r="D521" s="1"/>
    </row>
    <row r="522">
      <c r="A522" s="8"/>
      <c r="D522" s="1"/>
    </row>
    <row r="523">
      <c r="A523" s="8"/>
      <c r="D523" s="1"/>
    </row>
    <row r="524">
      <c r="A524" s="8"/>
      <c r="D524" s="1"/>
    </row>
    <row r="525">
      <c r="A525" s="8"/>
      <c r="D525" s="1"/>
    </row>
    <row r="526">
      <c r="A526" s="8"/>
      <c r="D526" s="1"/>
    </row>
    <row r="527">
      <c r="A527" s="8"/>
      <c r="D527" s="1"/>
    </row>
    <row r="528">
      <c r="A528" s="8"/>
      <c r="D528" s="1"/>
    </row>
    <row r="529">
      <c r="A529" s="8"/>
      <c r="D529" s="1"/>
    </row>
    <row r="530">
      <c r="A530" s="8"/>
      <c r="D530" s="1"/>
    </row>
    <row r="531">
      <c r="A531" s="8"/>
      <c r="D531" s="1"/>
    </row>
    <row r="532">
      <c r="A532" s="8"/>
      <c r="D532" s="1"/>
    </row>
    <row r="533">
      <c r="A533" s="8"/>
      <c r="D533" s="1"/>
    </row>
    <row r="534">
      <c r="A534" s="8"/>
      <c r="D534" s="1"/>
    </row>
    <row r="535">
      <c r="A535" s="8"/>
      <c r="D535" s="1"/>
    </row>
    <row r="536">
      <c r="A536" s="8"/>
      <c r="D536" s="1"/>
    </row>
    <row r="537">
      <c r="A537" s="8"/>
      <c r="D537" s="1"/>
    </row>
    <row r="538">
      <c r="A538" s="8"/>
      <c r="D538" s="1"/>
    </row>
    <row r="539">
      <c r="A539" s="8"/>
      <c r="D539" s="1"/>
    </row>
    <row r="540">
      <c r="A540" s="8"/>
      <c r="D540" s="1"/>
    </row>
    <row r="541">
      <c r="A541" s="8"/>
      <c r="D541" s="1"/>
    </row>
    <row r="542">
      <c r="A542" s="8"/>
      <c r="D542" s="1"/>
    </row>
    <row r="543">
      <c r="A543" s="8"/>
      <c r="D543" s="1"/>
    </row>
    <row r="544">
      <c r="A544" s="8"/>
      <c r="D544" s="1"/>
    </row>
    <row r="545">
      <c r="A545" s="8"/>
      <c r="D545" s="1"/>
    </row>
    <row r="546">
      <c r="A546" s="8"/>
      <c r="D546" s="1"/>
    </row>
    <row r="547">
      <c r="A547" s="8"/>
      <c r="D547" s="1"/>
    </row>
    <row r="548">
      <c r="A548" s="8"/>
      <c r="D548" s="1"/>
    </row>
    <row r="549">
      <c r="A549" s="8"/>
      <c r="D549" s="1"/>
    </row>
    <row r="550">
      <c r="A550" s="8"/>
      <c r="D550" s="1"/>
    </row>
    <row r="551">
      <c r="A551" s="8"/>
      <c r="D551" s="1"/>
    </row>
    <row r="552">
      <c r="A552" s="8"/>
      <c r="D552" s="1"/>
    </row>
    <row r="553">
      <c r="A553" s="8"/>
      <c r="D553" s="1"/>
    </row>
    <row r="554">
      <c r="A554" s="8"/>
      <c r="D554" s="1"/>
    </row>
    <row r="555">
      <c r="A555" s="8"/>
      <c r="D555" s="1"/>
    </row>
    <row r="556">
      <c r="A556" s="8"/>
      <c r="D556" s="1"/>
    </row>
    <row r="557">
      <c r="A557" s="8"/>
      <c r="D557" s="1"/>
    </row>
    <row r="558">
      <c r="A558" s="8"/>
      <c r="D558" s="1"/>
    </row>
    <row r="559">
      <c r="A559" s="8"/>
      <c r="D559" s="1"/>
    </row>
    <row r="560">
      <c r="A560" s="8"/>
      <c r="D560" s="1"/>
    </row>
    <row r="561">
      <c r="A561" s="8"/>
      <c r="D561" s="1"/>
    </row>
    <row r="562">
      <c r="A562" s="8"/>
      <c r="D562" s="1"/>
    </row>
    <row r="563">
      <c r="A563" s="8"/>
      <c r="D563" s="1"/>
    </row>
    <row r="564">
      <c r="A564" s="8"/>
      <c r="D564" s="1"/>
    </row>
    <row r="565">
      <c r="A565" s="8"/>
      <c r="D565" s="1"/>
    </row>
    <row r="566">
      <c r="A566" s="8"/>
      <c r="D566" s="1"/>
    </row>
    <row r="567">
      <c r="A567" s="8"/>
      <c r="D567" s="1"/>
    </row>
    <row r="568">
      <c r="A568" s="8"/>
      <c r="D568" s="1"/>
    </row>
    <row r="569">
      <c r="A569" s="8"/>
      <c r="D569" s="1"/>
    </row>
    <row r="570">
      <c r="A570" s="8"/>
      <c r="D570" s="1"/>
    </row>
    <row r="571">
      <c r="A571" s="8"/>
      <c r="D571" s="1"/>
    </row>
    <row r="572">
      <c r="A572" s="8"/>
      <c r="D572" s="1"/>
    </row>
    <row r="573">
      <c r="A573" s="8"/>
      <c r="D573" s="1"/>
    </row>
    <row r="574">
      <c r="A574" s="8"/>
      <c r="D574" s="1"/>
    </row>
    <row r="575">
      <c r="A575" s="8"/>
      <c r="D575" s="1"/>
    </row>
    <row r="576">
      <c r="A576" s="8"/>
      <c r="D576" s="1"/>
    </row>
    <row r="577">
      <c r="A577" s="8"/>
      <c r="D577" s="1"/>
    </row>
    <row r="578">
      <c r="A578" s="8"/>
      <c r="D578" s="1"/>
    </row>
    <row r="579">
      <c r="A579" s="8"/>
      <c r="D579" s="1"/>
    </row>
    <row r="580">
      <c r="A580" s="8"/>
      <c r="D580" s="1"/>
    </row>
    <row r="581">
      <c r="A581" s="8"/>
      <c r="D581" s="1"/>
    </row>
    <row r="582">
      <c r="A582" s="8"/>
      <c r="D582" s="1"/>
    </row>
    <row r="583">
      <c r="A583" s="8"/>
      <c r="D583" s="1"/>
    </row>
    <row r="584">
      <c r="A584" s="8"/>
      <c r="D584" s="1"/>
    </row>
    <row r="585">
      <c r="A585" s="8"/>
      <c r="D585" s="1"/>
    </row>
    <row r="586">
      <c r="A586" s="8"/>
      <c r="D586" s="1"/>
    </row>
    <row r="587">
      <c r="A587" s="8"/>
      <c r="D587" s="1"/>
    </row>
    <row r="588">
      <c r="A588" s="8"/>
      <c r="D588" s="1"/>
    </row>
    <row r="589">
      <c r="A589" s="8"/>
      <c r="D589" s="1"/>
    </row>
    <row r="590">
      <c r="A590" s="8"/>
      <c r="D590" s="1"/>
    </row>
    <row r="591">
      <c r="A591" s="8"/>
      <c r="D591" s="1"/>
    </row>
    <row r="592">
      <c r="A592" s="8"/>
      <c r="D592" s="1"/>
    </row>
    <row r="593">
      <c r="A593" s="8"/>
      <c r="D593" s="1"/>
    </row>
    <row r="594">
      <c r="A594" s="8"/>
      <c r="D594" s="1"/>
    </row>
    <row r="595">
      <c r="A595" s="8"/>
      <c r="D595" s="1"/>
    </row>
    <row r="596">
      <c r="A596" s="8"/>
      <c r="D596" s="1"/>
    </row>
    <row r="597">
      <c r="A597" s="8"/>
      <c r="D597" s="1"/>
    </row>
    <row r="598">
      <c r="A598" s="8"/>
      <c r="D598" s="1"/>
    </row>
    <row r="599">
      <c r="A599" s="8"/>
      <c r="D599" s="1"/>
    </row>
    <row r="600">
      <c r="A600" s="8"/>
      <c r="D600" s="1"/>
    </row>
    <row r="601">
      <c r="A601" s="8"/>
      <c r="D601" s="1"/>
    </row>
    <row r="602">
      <c r="A602" s="8"/>
      <c r="D602" s="1"/>
    </row>
    <row r="603">
      <c r="A603" s="8"/>
      <c r="D603" s="1"/>
    </row>
    <row r="604">
      <c r="A604" s="8"/>
      <c r="D604" s="1"/>
    </row>
    <row r="605">
      <c r="A605" s="8"/>
      <c r="D605" s="1"/>
    </row>
    <row r="606">
      <c r="A606" s="8"/>
      <c r="D606" s="1"/>
    </row>
    <row r="607">
      <c r="A607" s="8"/>
      <c r="D607" s="1"/>
    </row>
    <row r="608">
      <c r="A608" s="8"/>
      <c r="D608" s="1"/>
    </row>
    <row r="609">
      <c r="A609" s="8"/>
      <c r="D609" s="1"/>
    </row>
    <row r="610">
      <c r="A610" s="8"/>
      <c r="D610" s="1"/>
    </row>
    <row r="611">
      <c r="A611" s="8"/>
      <c r="D611" s="1"/>
    </row>
    <row r="612">
      <c r="A612" s="8"/>
      <c r="D612" s="1"/>
    </row>
    <row r="613">
      <c r="A613" s="8"/>
      <c r="D613" s="1"/>
    </row>
    <row r="614">
      <c r="A614" s="8"/>
      <c r="D614" s="1"/>
    </row>
    <row r="615">
      <c r="A615" s="8"/>
      <c r="D615" s="1"/>
    </row>
    <row r="616">
      <c r="A616" s="8"/>
      <c r="D616" s="1"/>
    </row>
    <row r="617">
      <c r="A617" s="8"/>
      <c r="D617" s="1"/>
    </row>
    <row r="618">
      <c r="A618" s="8"/>
      <c r="D618" s="1"/>
    </row>
    <row r="619">
      <c r="A619" s="8"/>
      <c r="D619" s="1"/>
    </row>
    <row r="620">
      <c r="A620" s="8"/>
      <c r="D620" s="1"/>
    </row>
    <row r="621">
      <c r="A621" s="8"/>
      <c r="D621" s="1"/>
    </row>
    <row r="622">
      <c r="A622" s="8"/>
      <c r="D622" s="1"/>
    </row>
    <row r="623">
      <c r="A623" s="8"/>
      <c r="D623" s="1"/>
    </row>
    <row r="624">
      <c r="A624" s="8"/>
      <c r="D624" s="1"/>
    </row>
    <row r="625">
      <c r="A625" s="8"/>
      <c r="D625" s="1"/>
    </row>
    <row r="626">
      <c r="A626" s="8"/>
      <c r="D626" s="1"/>
    </row>
    <row r="627">
      <c r="A627" s="8"/>
      <c r="D627" s="1"/>
    </row>
    <row r="628">
      <c r="A628" s="8"/>
      <c r="D628" s="1"/>
    </row>
    <row r="629">
      <c r="A629" s="8"/>
      <c r="D629" s="1"/>
    </row>
    <row r="630">
      <c r="A630" s="8"/>
      <c r="D630" s="1"/>
    </row>
    <row r="631">
      <c r="A631" s="8"/>
      <c r="D631" s="1"/>
    </row>
    <row r="632">
      <c r="A632" s="8"/>
      <c r="D632" s="1"/>
    </row>
    <row r="633">
      <c r="A633" s="8"/>
      <c r="D633" s="1"/>
    </row>
    <row r="634">
      <c r="A634" s="8"/>
      <c r="D634" s="1"/>
    </row>
    <row r="635">
      <c r="A635" s="8"/>
      <c r="D635" s="1"/>
    </row>
    <row r="636">
      <c r="A636" s="8"/>
      <c r="D636" s="1"/>
    </row>
    <row r="637">
      <c r="A637" s="8"/>
      <c r="D637" s="1"/>
    </row>
    <row r="638">
      <c r="A638" s="8"/>
      <c r="D638" s="1"/>
    </row>
    <row r="639">
      <c r="A639" s="8"/>
      <c r="D639" s="1"/>
    </row>
    <row r="640">
      <c r="A640" s="8"/>
      <c r="D640" s="1"/>
    </row>
    <row r="641">
      <c r="A641" s="8"/>
      <c r="D641" s="1"/>
    </row>
    <row r="642">
      <c r="A642" s="8"/>
      <c r="D642" s="1"/>
    </row>
    <row r="643">
      <c r="A643" s="8"/>
      <c r="D643" s="1"/>
    </row>
    <row r="644">
      <c r="A644" s="8"/>
      <c r="D644" s="1"/>
    </row>
    <row r="645">
      <c r="A645" s="8"/>
      <c r="D645" s="1"/>
    </row>
    <row r="646">
      <c r="A646" s="8"/>
      <c r="D646" s="1"/>
    </row>
    <row r="647">
      <c r="A647" s="8"/>
      <c r="D647" s="1"/>
    </row>
    <row r="648">
      <c r="A648" s="8"/>
      <c r="D648" s="1"/>
    </row>
    <row r="649">
      <c r="A649" s="8"/>
      <c r="D649" s="1"/>
    </row>
    <row r="650">
      <c r="A650" s="8"/>
      <c r="D650" s="1"/>
    </row>
    <row r="651">
      <c r="A651" s="8"/>
      <c r="D651" s="1"/>
    </row>
    <row r="652">
      <c r="A652" s="8"/>
      <c r="D652" s="1"/>
    </row>
    <row r="653">
      <c r="A653" s="8"/>
      <c r="D653" s="1"/>
    </row>
    <row r="654">
      <c r="A654" s="8"/>
      <c r="D654" s="1"/>
    </row>
    <row r="655">
      <c r="A655" s="8"/>
      <c r="D655" s="1"/>
    </row>
    <row r="656">
      <c r="A656" s="8"/>
      <c r="D656" s="1"/>
    </row>
    <row r="657">
      <c r="A657" s="8"/>
      <c r="D657" s="1"/>
    </row>
    <row r="658">
      <c r="A658" s="8"/>
      <c r="D658" s="1"/>
    </row>
    <row r="659">
      <c r="A659" s="8"/>
      <c r="D659" s="1"/>
    </row>
    <row r="660">
      <c r="A660" s="8"/>
      <c r="D660" s="1"/>
    </row>
    <row r="661">
      <c r="A661" s="8"/>
      <c r="D661" s="1"/>
    </row>
    <row r="662">
      <c r="A662" s="8"/>
      <c r="D662" s="1"/>
    </row>
    <row r="663">
      <c r="A663" s="8"/>
      <c r="D663" s="1"/>
    </row>
    <row r="664">
      <c r="A664" s="8"/>
      <c r="D664" s="1"/>
    </row>
    <row r="665">
      <c r="A665" s="8"/>
      <c r="D665" s="1"/>
    </row>
    <row r="666">
      <c r="A666" s="8"/>
      <c r="D666" s="1"/>
    </row>
    <row r="667">
      <c r="A667" s="8"/>
      <c r="D667" s="1"/>
    </row>
    <row r="668">
      <c r="A668" s="8"/>
      <c r="D668" s="1"/>
    </row>
    <row r="669">
      <c r="A669" s="8"/>
      <c r="D669" s="1"/>
    </row>
    <row r="670">
      <c r="A670" s="8"/>
      <c r="D670" s="1"/>
    </row>
    <row r="671">
      <c r="A671" s="8"/>
      <c r="D671" s="1"/>
    </row>
    <row r="672">
      <c r="A672" s="8"/>
      <c r="D672" s="1"/>
    </row>
    <row r="673">
      <c r="A673" s="8"/>
      <c r="D673" s="1"/>
    </row>
    <row r="674">
      <c r="A674" s="8"/>
      <c r="D674" s="1"/>
    </row>
    <row r="675">
      <c r="A675" s="8"/>
      <c r="D675" s="1"/>
    </row>
    <row r="676">
      <c r="A676" s="8"/>
      <c r="D676" s="1"/>
    </row>
    <row r="677">
      <c r="A677" s="8"/>
      <c r="D677" s="1"/>
    </row>
    <row r="678">
      <c r="A678" s="8"/>
      <c r="D678" s="1"/>
    </row>
    <row r="679">
      <c r="A679" s="8"/>
      <c r="D679" s="1"/>
    </row>
    <row r="680">
      <c r="A680" s="8"/>
      <c r="D680" s="1"/>
    </row>
    <row r="681">
      <c r="A681" s="8"/>
      <c r="D681" s="1"/>
    </row>
    <row r="682">
      <c r="A682" s="8"/>
      <c r="D682" s="1"/>
    </row>
    <row r="683">
      <c r="A683" s="8"/>
      <c r="D683" s="1"/>
    </row>
    <row r="684">
      <c r="A684" s="8"/>
      <c r="D684" s="1"/>
    </row>
    <row r="685">
      <c r="A685" s="8"/>
      <c r="D685" s="1"/>
    </row>
    <row r="686">
      <c r="A686" s="8"/>
      <c r="D686" s="1"/>
    </row>
    <row r="687">
      <c r="A687" s="8"/>
      <c r="D687" s="1"/>
    </row>
    <row r="688">
      <c r="A688" s="8"/>
      <c r="D688" s="1"/>
    </row>
    <row r="689">
      <c r="A689" s="8"/>
      <c r="D689" s="1"/>
    </row>
    <row r="690">
      <c r="A690" s="8"/>
      <c r="D690" s="1"/>
    </row>
    <row r="691">
      <c r="A691" s="8"/>
      <c r="D691" s="1"/>
    </row>
    <row r="692">
      <c r="A692" s="8"/>
      <c r="D692" s="1"/>
    </row>
    <row r="693">
      <c r="A693" s="8"/>
      <c r="D693" s="1"/>
    </row>
    <row r="694">
      <c r="A694" s="8"/>
      <c r="D694" s="1"/>
    </row>
    <row r="695">
      <c r="A695" s="8"/>
      <c r="D695" s="1"/>
    </row>
    <row r="696">
      <c r="A696" s="8"/>
      <c r="D696" s="1"/>
    </row>
    <row r="697">
      <c r="A697" s="8"/>
      <c r="D697" s="1"/>
    </row>
    <row r="698">
      <c r="A698" s="8"/>
      <c r="D698" s="1"/>
    </row>
    <row r="699">
      <c r="A699" s="8"/>
      <c r="D699" s="1"/>
    </row>
    <row r="700">
      <c r="A700" s="8"/>
      <c r="D700" s="1"/>
    </row>
    <row r="701">
      <c r="A701" s="8"/>
      <c r="D701" s="1"/>
    </row>
    <row r="702">
      <c r="A702" s="8"/>
      <c r="D702" s="1"/>
    </row>
    <row r="703">
      <c r="A703" s="8"/>
      <c r="D703" s="1"/>
    </row>
    <row r="704">
      <c r="A704" s="8"/>
      <c r="D704" s="1"/>
    </row>
    <row r="705">
      <c r="A705" s="8"/>
      <c r="D705" s="1"/>
    </row>
    <row r="706">
      <c r="A706" s="8"/>
      <c r="D706" s="1"/>
    </row>
    <row r="707">
      <c r="A707" s="8"/>
      <c r="D707" s="1"/>
    </row>
    <row r="708">
      <c r="A708" s="8"/>
      <c r="D708" s="1"/>
    </row>
    <row r="709">
      <c r="A709" s="8"/>
      <c r="D709" s="1"/>
    </row>
    <row r="710">
      <c r="A710" s="8"/>
      <c r="D710" s="1"/>
    </row>
    <row r="711">
      <c r="A711" s="8"/>
      <c r="D711" s="1"/>
    </row>
    <row r="712">
      <c r="A712" s="8"/>
      <c r="D712" s="1"/>
    </row>
    <row r="713">
      <c r="A713" s="8"/>
      <c r="D713" s="1"/>
    </row>
    <row r="714">
      <c r="A714" s="8"/>
      <c r="D714" s="1"/>
    </row>
    <row r="715">
      <c r="A715" s="8"/>
      <c r="D715" s="1"/>
    </row>
    <row r="716">
      <c r="A716" s="8"/>
      <c r="D716" s="1"/>
    </row>
    <row r="717">
      <c r="A717" s="8"/>
      <c r="D717" s="1"/>
    </row>
    <row r="718">
      <c r="A718" s="8"/>
      <c r="D718" s="1"/>
    </row>
    <row r="719">
      <c r="A719" s="8"/>
      <c r="D719" s="1"/>
    </row>
    <row r="720">
      <c r="A720" s="8"/>
      <c r="D720" s="1"/>
    </row>
    <row r="721">
      <c r="A721" s="8"/>
      <c r="D721" s="1"/>
    </row>
    <row r="722">
      <c r="A722" s="8"/>
      <c r="D722" s="1"/>
    </row>
    <row r="723">
      <c r="A723" s="8"/>
      <c r="D723" s="1"/>
    </row>
    <row r="724">
      <c r="A724" s="8"/>
      <c r="D724" s="1"/>
    </row>
    <row r="725">
      <c r="A725" s="8"/>
      <c r="D725" s="1"/>
    </row>
    <row r="726">
      <c r="A726" s="8"/>
      <c r="D726" s="1"/>
    </row>
    <row r="727">
      <c r="A727" s="8"/>
      <c r="D727" s="1"/>
    </row>
    <row r="728">
      <c r="A728" s="8"/>
      <c r="D728" s="1"/>
    </row>
    <row r="729">
      <c r="A729" s="8"/>
      <c r="D729" s="1"/>
    </row>
    <row r="730">
      <c r="A730" s="8"/>
      <c r="D730" s="1"/>
    </row>
    <row r="731">
      <c r="A731" s="8"/>
      <c r="D731" s="1"/>
    </row>
    <row r="732">
      <c r="A732" s="8"/>
      <c r="D732" s="1"/>
    </row>
    <row r="733">
      <c r="A733" s="8"/>
      <c r="D733" s="1"/>
    </row>
    <row r="734">
      <c r="A734" s="8"/>
      <c r="D734" s="1"/>
    </row>
    <row r="735">
      <c r="A735" s="8"/>
      <c r="D735" s="1"/>
    </row>
    <row r="736">
      <c r="A736" s="8"/>
      <c r="D736" s="1"/>
    </row>
    <row r="737">
      <c r="A737" s="8"/>
      <c r="D737" s="1"/>
    </row>
    <row r="738">
      <c r="A738" s="8"/>
      <c r="D738" s="1"/>
    </row>
    <row r="739">
      <c r="A739" s="8"/>
      <c r="D739" s="1"/>
    </row>
    <row r="740">
      <c r="A740" s="8"/>
      <c r="D740" s="1"/>
    </row>
    <row r="741">
      <c r="A741" s="8"/>
      <c r="D741" s="1"/>
    </row>
    <row r="742">
      <c r="A742" s="8"/>
      <c r="D742" s="1"/>
    </row>
    <row r="743">
      <c r="A743" s="8"/>
      <c r="D743" s="1"/>
    </row>
    <row r="744">
      <c r="A744" s="8"/>
      <c r="D744" s="1"/>
    </row>
    <row r="745">
      <c r="A745" s="8"/>
      <c r="D745" s="1"/>
    </row>
    <row r="746">
      <c r="A746" s="8"/>
      <c r="D746" s="1"/>
    </row>
    <row r="747">
      <c r="A747" s="8"/>
      <c r="D747" s="1"/>
    </row>
    <row r="748">
      <c r="A748" s="8"/>
      <c r="D748" s="1"/>
    </row>
    <row r="749">
      <c r="A749" s="8"/>
      <c r="D749" s="1"/>
    </row>
    <row r="750">
      <c r="A750" s="8"/>
      <c r="D750" s="1"/>
    </row>
    <row r="751">
      <c r="A751" s="8"/>
      <c r="D751" s="1"/>
    </row>
    <row r="752">
      <c r="A752" s="8"/>
      <c r="D752" s="1"/>
    </row>
    <row r="753">
      <c r="A753" s="8"/>
      <c r="D753" s="1"/>
    </row>
    <row r="754">
      <c r="A754" s="8"/>
      <c r="D754" s="1"/>
    </row>
    <row r="755">
      <c r="A755" s="8"/>
      <c r="D755" s="1"/>
    </row>
    <row r="756">
      <c r="A756" s="8"/>
      <c r="D756" s="1"/>
    </row>
    <row r="757">
      <c r="A757" s="8"/>
      <c r="D757" s="1"/>
    </row>
    <row r="758">
      <c r="A758" s="8"/>
      <c r="D758" s="1"/>
    </row>
    <row r="759">
      <c r="A759" s="8"/>
      <c r="D759" s="1"/>
    </row>
    <row r="760">
      <c r="A760" s="8"/>
      <c r="D760" s="1"/>
    </row>
    <row r="761">
      <c r="A761" s="8"/>
      <c r="D761" s="1"/>
    </row>
    <row r="762">
      <c r="A762" s="8"/>
      <c r="D762" s="1"/>
    </row>
    <row r="763">
      <c r="A763" s="8"/>
      <c r="D763" s="1"/>
    </row>
    <row r="764">
      <c r="A764" s="8"/>
      <c r="D764" s="1"/>
    </row>
    <row r="765">
      <c r="A765" s="8"/>
      <c r="D765" s="1"/>
    </row>
    <row r="766">
      <c r="A766" s="8"/>
      <c r="D766" s="1"/>
    </row>
    <row r="767">
      <c r="A767" s="8"/>
      <c r="D767" s="1"/>
    </row>
    <row r="768">
      <c r="A768" s="8"/>
      <c r="D768" s="1"/>
    </row>
    <row r="769">
      <c r="A769" s="8"/>
      <c r="D769" s="1"/>
    </row>
    <row r="770">
      <c r="A770" s="8"/>
      <c r="D770" s="1"/>
    </row>
    <row r="771">
      <c r="A771" s="8"/>
      <c r="D771" s="1"/>
    </row>
    <row r="772">
      <c r="A772" s="8"/>
      <c r="D772" s="1"/>
    </row>
    <row r="773">
      <c r="A773" s="8"/>
      <c r="D773" s="1"/>
    </row>
    <row r="774">
      <c r="A774" s="8"/>
      <c r="D774" s="1"/>
    </row>
    <row r="775">
      <c r="A775" s="8"/>
      <c r="D775" s="1"/>
    </row>
    <row r="776">
      <c r="A776" s="8"/>
      <c r="D776" s="1"/>
    </row>
    <row r="777">
      <c r="A777" s="8"/>
      <c r="D777" s="1"/>
    </row>
    <row r="778">
      <c r="A778" s="8"/>
      <c r="D778" s="1"/>
    </row>
    <row r="779">
      <c r="A779" s="8"/>
      <c r="D779" s="1"/>
    </row>
    <row r="780">
      <c r="A780" s="8"/>
      <c r="D780" s="1"/>
    </row>
    <row r="781">
      <c r="A781" s="8"/>
      <c r="D781" s="1"/>
    </row>
    <row r="782">
      <c r="A782" s="8"/>
      <c r="D782" s="1"/>
    </row>
    <row r="783">
      <c r="A783" s="8"/>
      <c r="D783" s="1"/>
    </row>
    <row r="784">
      <c r="A784" s="8"/>
      <c r="D784" s="1"/>
    </row>
    <row r="785">
      <c r="A785" s="8"/>
      <c r="D785" s="1"/>
    </row>
    <row r="786">
      <c r="A786" s="8"/>
      <c r="D786" s="1"/>
    </row>
    <row r="787">
      <c r="A787" s="8"/>
      <c r="D787" s="1"/>
    </row>
    <row r="788">
      <c r="A788" s="8"/>
      <c r="D788" s="1"/>
    </row>
    <row r="789">
      <c r="A789" s="8"/>
      <c r="D789" s="1"/>
    </row>
    <row r="790">
      <c r="A790" s="8"/>
      <c r="D790" s="1"/>
    </row>
    <row r="791">
      <c r="A791" s="8"/>
      <c r="D791" s="1"/>
    </row>
    <row r="792">
      <c r="A792" s="8"/>
      <c r="D792" s="1"/>
    </row>
    <row r="793">
      <c r="A793" s="8"/>
      <c r="D793" s="1"/>
    </row>
    <row r="794">
      <c r="A794" s="8"/>
      <c r="D794" s="1"/>
    </row>
    <row r="795">
      <c r="A795" s="8"/>
      <c r="D795" s="1"/>
    </row>
    <row r="796">
      <c r="A796" s="8"/>
      <c r="D796" s="1"/>
    </row>
    <row r="797">
      <c r="A797" s="8"/>
      <c r="D797" s="1"/>
    </row>
    <row r="798">
      <c r="A798" s="8"/>
      <c r="D798" s="1"/>
    </row>
    <row r="799">
      <c r="A799" s="8"/>
      <c r="D799" s="1"/>
    </row>
    <row r="800">
      <c r="A800" s="8"/>
      <c r="D800" s="1"/>
    </row>
    <row r="801">
      <c r="A801" s="8"/>
      <c r="D801" s="1"/>
    </row>
    <row r="802">
      <c r="A802" s="8"/>
      <c r="D802" s="1"/>
    </row>
    <row r="803">
      <c r="A803" s="8"/>
      <c r="D803" s="1"/>
    </row>
    <row r="804">
      <c r="A804" s="8"/>
      <c r="D804" s="1"/>
    </row>
    <row r="805">
      <c r="A805" s="8"/>
      <c r="D805" s="1"/>
    </row>
    <row r="806">
      <c r="A806" s="8"/>
      <c r="D806" s="1"/>
    </row>
    <row r="807">
      <c r="A807" s="8"/>
      <c r="D807" s="1"/>
    </row>
    <row r="808">
      <c r="A808" s="8"/>
      <c r="D808" s="1"/>
    </row>
    <row r="809">
      <c r="A809" s="8"/>
      <c r="D809" s="1"/>
    </row>
    <row r="810">
      <c r="A810" s="8"/>
      <c r="D810" s="1"/>
    </row>
    <row r="811">
      <c r="A811" s="8"/>
      <c r="D811" s="1"/>
    </row>
    <row r="812">
      <c r="A812" s="8"/>
      <c r="D812" s="1"/>
    </row>
    <row r="813">
      <c r="A813" s="8"/>
      <c r="D813" s="1"/>
    </row>
    <row r="814">
      <c r="A814" s="8"/>
      <c r="D814" s="1"/>
    </row>
    <row r="815">
      <c r="A815" s="8"/>
      <c r="D815" s="1"/>
    </row>
    <row r="816">
      <c r="A816" s="8"/>
      <c r="D816" s="1"/>
    </row>
    <row r="817">
      <c r="A817" s="8"/>
      <c r="D817" s="1"/>
    </row>
    <row r="818">
      <c r="A818" s="8"/>
      <c r="D818" s="1"/>
    </row>
    <row r="819">
      <c r="A819" s="8"/>
      <c r="D819" s="1"/>
    </row>
    <row r="820">
      <c r="A820" s="8"/>
      <c r="D820" s="1"/>
    </row>
    <row r="821">
      <c r="A821" s="8"/>
      <c r="D821" s="1"/>
    </row>
    <row r="822">
      <c r="A822" s="8"/>
      <c r="D822" s="1"/>
    </row>
    <row r="823">
      <c r="A823" s="8"/>
      <c r="D823" s="1"/>
    </row>
    <row r="824">
      <c r="A824" s="8"/>
      <c r="D824" s="1"/>
    </row>
    <row r="825">
      <c r="A825" s="8"/>
      <c r="D825" s="1"/>
    </row>
    <row r="826">
      <c r="A826" s="8"/>
      <c r="D826" s="1"/>
    </row>
    <row r="827">
      <c r="A827" s="8"/>
      <c r="D827" s="1"/>
    </row>
    <row r="828">
      <c r="A828" s="8"/>
      <c r="D828" s="1"/>
    </row>
    <row r="829">
      <c r="A829" s="8"/>
      <c r="D829" s="1"/>
    </row>
    <row r="830">
      <c r="A830" s="8"/>
      <c r="D830" s="1"/>
    </row>
    <row r="831">
      <c r="A831" s="8"/>
      <c r="D831" s="1"/>
    </row>
    <row r="832">
      <c r="A832" s="8"/>
      <c r="D832" s="1"/>
    </row>
    <row r="833">
      <c r="A833" s="8"/>
      <c r="D833" s="1"/>
    </row>
    <row r="834">
      <c r="A834" s="8"/>
      <c r="D834" s="1"/>
    </row>
    <row r="835">
      <c r="A835" s="8"/>
      <c r="D835" s="1"/>
    </row>
    <row r="836">
      <c r="A836" s="8"/>
      <c r="D836" s="1"/>
    </row>
    <row r="837">
      <c r="A837" s="8"/>
      <c r="D837" s="1"/>
    </row>
    <row r="838">
      <c r="A838" s="8"/>
      <c r="D838" s="1"/>
    </row>
    <row r="839">
      <c r="A839" s="8"/>
      <c r="D839" s="1"/>
    </row>
    <row r="840">
      <c r="A840" s="8"/>
      <c r="D840" s="1"/>
    </row>
    <row r="841">
      <c r="A841" s="8"/>
      <c r="D841" s="1"/>
    </row>
    <row r="842">
      <c r="A842" s="8"/>
      <c r="D842" s="1"/>
    </row>
    <row r="843">
      <c r="A843" s="8"/>
      <c r="D843" s="1"/>
    </row>
    <row r="844">
      <c r="A844" s="8"/>
      <c r="D844" s="1"/>
    </row>
    <row r="845">
      <c r="A845" s="8"/>
      <c r="D845" s="1"/>
    </row>
    <row r="846">
      <c r="A846" s="8"/>
      <c r="D846" s="1"/>
    </row>
    <row r="847">
      <c r="A847" s="8"/>
      <c r="D847" s="1"/>
    </row>
    <row r="848">
      <c r="A848" s="8"/>
      <c r="D848" s="1"/>
    </row>
    <row r="849">
      <c r="A849" s="8"/>
      <c r="D849" s="1"/>
    </row>
    <row r="850">
      <c r="A850" s="8"/>
      <c r="D850" s="1"/>
    </row>
    <row r="851">
      <c r="A851" s="8"/>
      <c r="D851" s="1"/>
    </row>
    <row r="852">
      <c r="A852" s="8"/>
      <c r="D852" s="1"/>
    </row>
    <row r="853">
      <c r="A853" s="8"/>
      <c r="D853" s="1"/>
    </row>
    <row r="854">
      <c r="A854" s="8"/>
      <c r="D854" s="1"/>
    </row>
    <row r="855">
      <c r="A855" s="8"/>
      <c r="D855" s="1"/>
    </row>
    <row r="856">
      <c r="A856" s="8"/>
      <c r="D856" s="1"/>
    </row>
    <row r="857">
      <c r="A857" s="8"/>
      <c r="D857" s="1"/>
    </row>
    <row r="858">
      <c r="A858" s="8"/>
      <c r="D858" s="1"/>
    </row>
    <row r="859">
      <c r="A859" s="8"/>
      <c r="D859" s="1"/>
    </row>
    <row r="860">
      <c r="A860" s="8"/>
      <c r="D860" s="1"/>
    </row>
    <row r="861">
      <c r="A861" s="8"/>
      <c r="D861" s="1"/>
    </row>
    <row r="862">
      <c r="A862" s="8"/>
      <c r="D862" s="1"/>
    </row>
    <row r="863">
      <c r="A863" s="8"/>
      <c r="D863" s="1"/>
    </row>
    <row r="864">
      <c r="A864" s="8"/>
      <c r="D864" s="1"/>
    </row>
    <row r="865">
      <c r="A865" s="8"/>
      <c r="D865" s="1"/>
    </row>
    <row r="866">
      <c r="A866" s="8"/>
      <c r="D866" s="1"/>
    </row>
    <row r="867">
      <c r="A867" s="8"/>
      <c r="D867" s="1"/>
    </row>
    <row r="868">
      <c r="A868" s="8"/>
      <c r="D868" s="1"/>
    </row>
    <row r="869">
      <c r="A869" s="8"/>
      <c r="D869" s="1"/>
    </row>
    <row r="870">
      <c r="A870" s="8"/>
      <c r="D870" s="1"/>
    </row>
    <row r="871">
      <c r="A871" s="8"/>
      <c r="D871" s="1"/>
    </row>
    <row r="872">
      <c r="A872" s="8"/>
      <c r="D872" s="1"/>
    </row>
    <row r="873">
      <c r="A873" s="8"/>
      <c r="D873" s="1"/>
    </row>
    <row r="874">
      <c r="A874" s="8"/>
      <c r="D874" s="1"/>
    </row>
    <row r="875">
      <c r="A875" s="8"/>
      <c r="D875" s="1"/>
    </row>
    <row r="876">
      <c r="A876" s="8"/>
      <c r="D876" s="1"/>
    </row>
    <row r="877">
      <c r="A877" s="8"/>
      <c r="D877" s="1"/>
    </row>
    <row r="878">
      <c r="A878" s="8"/>
      <c r="D878" s="1"/>
    </row>
    <row r="879">
      <c r="A879" s="8"/>
      <c r="D879" s="1"/>
    </row>
    <row r="880">
      <c r="A880" s="8"/>
      <c r="D880" s="1"/>
    </row>
    <row r="881">
      <c r="A881" s="8"/>
      <c r="D881" s="1"/>
    </row>
    <row r="882">
      <c r="A882" s="8"/>
      <c r="D882" s="1"/>
    </row>
    <row r="883">
      <c r="A883" s="8"/>
      <c r="D883" s="1"/>
    </row>
    <row r="884">
      <c r="A884" s="8"/>
      <c r="D884" s="1"/>
    </row>
    <row r="885">
      <c r="A885" s="8"/>
      <c r="D885" s="1"/>
    </row>
    <row r="886">
      <c r="A886" s="8"/>
      <c r="D886" s="1"/>
    </row>
    <row r="887">
      <c r="A887" s="8"/>
      <c r="D887" s="1"/>
    </row>
    <row r="888">
      <c r="A888" s="8"/>
      <c r="D888" s="1"/>
    </row>
    <row r="889">
      <c r="A889" s="8"/>
      <c r="D889" s="1"/>
    </row>
    <row r="890">
      <c r="A890" s="8"/>
      <c r="D890" s="1"/>
    </row>
    <row r="891">
      <c r="A891" s="8"/>
      <c r="D891" s="1"/>
    </row>
    <row r="892">
      <c r="A892" s="8"/>
      <c r="D892" s="1"/>
    </row>
    <row r="893">
      <c r="A893" s="8"/>
      <c r="D893" s="1"/>
    </row>
    <row r="894">
      <c r="A894" s="8"/>
      <c r="D894" s="1"/>
    </row>
    <row r="895">
      <c r="A895" s="8"/>
      <c r="D895" s="1"/>
    </row>
    <row r="896">
      <c r="A896" s="8"/>
      <c r="D896" s="1"/>
    </row>
    <row r="897">
      <c r="A897" s="8"/>
      <c r="D897" s="1"/>
    </row>
    <row r="898">
      <c r="A898" s="8"/>
      <c r="D898" s="1"/>
    </row>
    <row r="899">
      <c r="A899" s="8"/>
      <c r="D899" s="1"/>
    </row>
    <row r="900">
      <c r="A900" s="8"/>
      <c r="D900" s="1"/>
    </row>
    <row r="901">
      <c r="A901" s="8"/>
      <c r="D901" s="1"/>
    </row>
    <row r="902">
      <c r="A902" s="8"/>
      <c r="D902" s="1"/>
    </row>
    <row r="903">
      <c r="A903" s="8"/>
      <c r="D903" s="1"/>
    </row>
    <row r="904">
      <c r="A904" s="8"/>
      <c r="D904" s="1"/>
    </row>
    <row r="905">
      <c r="A905" s="8"/>
      <c r="D905" s="1"/>
    </row>
    <row r="906">
      <c r="A906" s="8"/>
      <c r="D906" s="1"/>
    </row>
    <row r="907">
      <c r="A907" s="8"/>
      <c r="D907" s="1"/>
    </row>
    <row r="908">
      <c r="A908" s="8"/>
      <c r="D908" s="1"/>
    </row>
    <row r="909">
      <c r="A909" s="8"/>
      <c r="D909" s="1"/>
    </row>
    <row r="910">
      <c r="A910" s="8"/>
      <c r="D910" s="1"/>
    </row>
    <row r="911">
      <c r="A911" s="8"/>
      <c r="D911" s="1"/>
    </row>
    <row r="912">
      <c r="A912" s="8"/>
      <c r="D912" s="1"/>
    </row>
    <row r="913">
      <c r="A913" s="8"/>
      <c r="D913" s="1"/>
    </row>
    <row r="914">
      <c r="A914" s="8"/>
      <c r="D914" s="1"/>
    </row>
    <row r="915">
      <c r="A915" s="8"/>
      <c r="D915" s="1"/>
    </row>
    <row r="916">
      <c r="A916" s="8"/>
      <c r="D916" s="1"/>
    </row>
    <row r="917">
      <c r="A917" s="8"/>
      <c r="D917" s="1"/>
    </row>
    <row r="918">
      <c r="A918" s="8"/>
      <c r="D918" s="1"/>
    </row>
    <row r="919">
      <c r="A919" s="8"/>
      <c r="D919" s="1"/>
    </row>
    <row r="920">
      <c r="A920" s="8"/>
      <c r="D920" s="1"/>
    </row>
    <row r="921">
      <c r="A921" s="8"/>
      <c r="D921" s="1"/>
    </row>
    <row r="922">
      <c r="A922" s="8"/>
      <c r="D922" s="1"/>
    </row>
    <row r="923">
      <c r="A923" s="8"/>
      <c r="D923" s="1"/>
    </row>
    <row r="924">
      <c r="A924" s="8"/>
      <c r="D924" s="1"/>
    </row>
    <row r="925">
      <c r="A925" s="8"/>
      <c r="D925" s="1"/>
    </row>
    <row r="926">
      <c r="A926" s="8"/>
      <c r="D926" s="1"/>
    </row>
    <row r="927">
      <c r="A927" s="8"/>
      <c r="D927" s="1"/>
    </row>
    <row r="928">
      <c r="A928" s="8"/>
      <c r="D928" s="1"/>
    </row>
    <row r="929">
      <c r="A929" s="8"/>
      <c r="D929" s="1"/>
    </row>
    <row r="930">
      <c r="A930" s="8"/>
      <c r="D930" s="1"/>
    </row>
    <row r="931">
      <c r="A931" s="8"/>
      <c r="D931" s="1"/>
    </row>
    <row r="932">
      <c r="A932" s="8"/>
      <c r="D932" s="1"/>
    </row>
    <row r="933">
      <c r="A933" s="8"/>
      <c r="D933" s="1"/>
    </row>
    <row r="934">
      <c r="A934" s="8"/>
      <c r="D934" s="1"/>
    </row>
    <row r="935">
      <c r="A935" s="8"/>
      <c r="D935" s="1"/>
    </row>
    <row r="936">
      <c r="A936" s="8"/>
      <c r="D936" s="1"/>
    </row>
    <row r="937">
      <c r="A937" s="8"/>
      <c r="D937" s="1"/>
    </row>
    <row r="938">
      <c r="A938" s="8"/>
      <c r="D938" s="1"/>
    </row>
    <row r="939">
      <c r="A939" s="8"/>
      <c r="D939" s="1"/>
    </row>
    <row r="940">
      <c r="A940" s="8"/>
      <c r="D940" s="1"/>
    </row>
    <row r="941">
      <c r="A941" s="8"/>
      <c r="D941" s="1"/>
    </row>
    <row r="942">
      <c r="A942" s="8"/>
      <c r="D942" s="1"/>
    </row>
    <row r="943">
      <c r="A943" s="8"/>
      <c r="D943" s="1"/>
    </row>
    <row r="944">
      <c r="A944" s="8"/>
      <c r="D944" s="1"/>
    </row>
    <row r="945">
      <c r="A945" s="8"/>
      <c r="D945" s="1"/>
    </row>
    <row r="946">
      <c r="A946" s="8"/>
      <c r="D946" s="1"/>
    </row>
    <row r="947">
      <c r="A947" s="8"/>
      <c r="D947" s="1"/>
    </row>
    <row r="948">
      <c r="A948" s="8"/>
      <c r="D948" s="1"/>
    </row>
    <row r="949">
      <c r="A949" s="8"/>
      <c r="D949" s="1"/>
    </row>
    <row r="950">
      <c r="A950" s="8"/>
      <c r="D950" s="1"/>
    </row>
    <row r="951">
      <c r="A951" s="8"/>
      <c r="D951" s="1"/>
    </row>
    <row r="952">
      <c r="A952" s="8"/>
      <c r="D952" s="1"/>
    </row>
    <row r="953">
      <c r="A953" s="8"/>
      <c r="D953" s="1"/>
    </row>
    <row r="954">
      <c r="A954" s="8"/>
      <c r="D954" s="1"/>
    </row>
    <row r="955">
      <c r="A955" s="8"/>
      <c r="D955" s="1"/>
    </row>
    <row r="956">
      <c r="A956" s="8"/>
      <c r="D956" s="1"/>
    </row>
    <row r="957">
      <c r="A957" s="8"/>
      <c r="D957" s="1"/>
    </row>
    <row r="958">
      <c r="A958" s="8"/>
      <c r="D958" s="1"/>
    </row>
    <row r="959">
      <c r="A959" s="8"/>
      <c r="D959" s="1"/>
    </row>
    <row r="960">
      <c r="A960" s="8"/>
      <c r="D960" s="1"/>
    </row>
    <row r="961">
      <c r="A961" s="8"/>
      <c r="D961" s="1"/>
    </row>
    <row r="962">
      <c r="A962" s="8"/>
      <c r="D962" s="1"/>
    </row>
    <row r="963">
      <c r="A963" s="8"/>
      <c r="D963" s="1"/>
    </row>
    <row r="964">
      <c r="A964" s="8"/>
      <c r="D964" s="1"/>
    </row>
    <row r="965">
      <c r="A965" s="8"/>
      <c r="D965" s="1"/>
    </row>
    <row r="966">
      <c r="A966" s="8"/>
      <c r="D966" s="1"/>
    </row>
    <row r="967">
      <c r="A967" s="8"/>
      <c r="D967" s="1"/>
    </row>
    <row r="968">
      <c r="A968" s="8"/>
      <c r="D968" s="1"/>
    </row>
    <row r="969">
      <c r="A969" s="8"/>
      <c r="D969" s="1"/>
    </row>
    <row r="970">
      <c r="A970" s="8"/>
      <c r="D970" s="1"/>
    </row>
    <row r="971">
      <c r="A971" s="8"/>
      <c r="D971" s="1"/>
    </row>
    <row r="972">
      <c r="A972" s="8"/>
      <c r="D972" s="1"/>
    </row>
    <row r="973">
      <c r="A973" s="8"/>
      <c r="D973" s="1"/>
    </row>
    <row r="974">
      <c r="A974" s="8"/>
      <c r="D974" s="1"/>
    </row>
    <row r="975">
      <c r="A975" s="8"/>
      <c r="D975" s="1"/>
    </row>
    <row r="976">
      <c r="A976" s="8"/>
      <c r="D976" s="1"/>
    </row>
    <row r="977">
      <c r="A977" s="8"/>
      <c r="D977" s="1"/>
    </row>
    <row r="978">
      <c r="A978" s="8"/>
      <c r="D978" s="1"/>
    </row>
    <row r="979">
      <c r="A979" s="8"/>
      <c r="D979" s="1"/>
    </row>
    <row r="980">
      <c r="A980" s="8"/>
      <c r="D980" s="1"/>
    </row>
    <row r="981">
      <c r="A981" s="8"/>
      <c r="D981" s="1"/>
    </row>
    <row r="982">
      <c r="A982" s="8"/>
      <c r="D982" s="1"/>
    </row>
    <row r="983">
      <c r="A983" s="8"/>
      <c r="D983" s="1"/>
    </row>
    <row r="984">
      <c r="A984" s="8"/>
      <c r="D984" s="1"/>
    </row>
    <row r="985">
      <c r="A985" s="8"/>
      <c r="D985" s="1"/>
    </row>
    <row r="986">
      <c r="A986" s="8"/>
      <c r="D986" s="1"/>
    </row>
    <row r="987">
      <c r="A987" s="8"/>
      <c r="D987" s="1"/>
    </row>
    <row r="988">
      <c r="A988" s="8"/>
      <c r="D988" s="1"/>
    </row>
    <row r="989">
      <c r="A989" s="8"/>
      <c r="D989" s="1"/>
    </row>
    <row r="990">
      <c r="A990" s="8"/>
      <c r="D990" s="1"/>
    </row>
    <row r="991">
      <c r="A991" s="8"/>
      <c r="D991" s="1"/>
    </row>
    <row r="992">
      <c r="A992" s="8"/>
      <c r="D992" s="1"/>
    </row>
    <row r="993">
      <c r="A993" s="8"/>
      <c r="D993" s="1"/>
    </row>
    <row r="994">
      <c r="A994" s="8"/>
      <c r="D994" s="1"/>
    </row>
    <row r="995">
      <c r="A995" s="8"/>
      <c r="D995" s="1"/>
    </row>
    <row r="996">
      <c r="A996" s="8"/>
      <c r="D996" s="1"/>
    </row>
    <row r="997">
      <c r="A997" s="8"/>
      <c r="D997" s="1"/>
    </row>
    <row r="998">
      <c r="A998" s="8"/>
      <c r="D998" s="1"/>
    </row>
    <row r="999">
      <c r="A999" s="8"/>
      <c r="D999" s="1"/>
    </row>
    <row r="1000">
      <c r="A1000" s="8"/>
      <c r="D1000" s="1"/>
    </row>
    <row r="1001">
      <c r="A1001" s="8"/>
      <c r="D1001" s="1"/>
    </row>
    <row r="1002">
      <c r="A1002" s="8"/>
      <c r="D1002" s="1"/>
    </row>
    <row r="1003">
      <c r="A1003" s="8"/>
      <c r="D1003" s="1"/>
    </row>
  </sheetData>
  <hyperlinks>
    <hyperlink r:id="rId2" location="gid=2135279250" ref="B3"/>
    <hyperlink r:id="rId3" location="gid=622029069" ref="B4"/>
    <hyperlink r:id="rId4" location="gid=622029069" ref="B5"/>
    <hyperlink r:id="rId5" location="gid=622029069" ref="B6"/>
    <hyperlink r:id="rId6" location="gid=622029069" ref="B7"/>
    <hyperlink r:id="rId7" location="gid=622029069" ref="B8"/>
    <hyperlink r:id="rId8" location="gid=622029069" ref="B9"/>
    <hyperlink r:id="rId9" location="gid=622029069" ref="B10"/>
    <hyperlink r:id="rId10" location="gid=622029069" ref="B11"/>
    <hyperlink r:id="rId11" location="gid=622029069" ref="B12"/>
    <hyperlink r:id="rId12" location="gid=622029069" ref="B13"/>
    <hyperlink r:id="rId13" location="gid=622029069" ref="B14"/>
    <hyperlink r:id="rId14" location="gid=622029069" ref="B15"/>
    <hyperlink r:id="rId15" location="gid=622029069" ref="B16"/>
    <hyperlink r:id="rId16" location="gid=622029069" ref="B17"/>
    <hyperlink r:id="rId17" location="gid=622029069" ref="B18"/>
    <hyperlink r:id="rId18" location="gid=622029069" ref="B19"/>
    <hyperlink r:id="rId19" location="gid=622029069" ref="B20"/>
    <hyperlink r:id="rId20" location="gid=622029069" ref="B21"/>
    <hyperlink r:id="rId21" location="gid=622029069" ref="B22"/>
    <hyperlink r:id="rId22" location="gid=622029069" ref="B23"/>
    <hyperlink r:id="rId23" location="gid=622029069" ref="B24"/>
    <hyperlink r:id="rId24" location="gid=622029069" ref="B25"/>
    <hyperlink r:id="rId25" location="gid=622029069" ref="B26"/>
    <hyperlink r:id="rId26" location="gid=622029069" ref="B27"/>
    <hyperlink r:id="rId27" location="gid=263247883" ref="B28"/>
    <hyperlink r:id="rId28" location="gid=622029069" ref="B29"/>
    <hyperlink r:id="rId29" location="gid=263247883" ref="B30"/>
    <hyperlink r:id="rId30" location="gid=1256055019" ref="B31"/>
    <hyperlink r:id="rId31" location="gid=0" ref="B32"/>
    <hyperlink r:id="rId32" location="gid=263247883" ref="B33"/>
    <hyperlink r:id="rId33" location="gid=263247883" ref="B34"/>
    <hyperlink r:id="rId34" location="gid=263247883" ref="B35"/>
    <hyperlink r:id="rId35" location="gid=0" ref="B36"/>
    <hyperlink r:id="rId36" location="gid=0" ref="B37"/>
    <hyperlink r:id="rId37" location="gid=263247883" ref="B38"/>
    <hyperlink r:id="rId38" location="gid=263247883" ref="B39"/>
    <hyperlink r:id="rId39" location="gid=0" ref="B40"/>
    <hyperlink r:id="rId40" location="gid=1630204704" ref="B41"/>
    <hyperlink r:id="rId41" location="gid=0" ref="B42"/>
    <hyperlink r:id="rId42" location="gid=0" ref="B43"/>
    <hyperlink r:id="rId43" location="gid=0" ref="B44"/>
    <hyperlink r:id="rId44" location="gid=0" ref="B45"/>
    <hyperlink r:id="rId45" location="gid=0" ref="B46"/>
    <hyperlink r:id="rId46" location="gid=0" ref="B47"/>
    <hyperlink r:id="rId47" location="gid=1827643887" ref="B48"/>
    <hyperlink r:id="rId48" location="gid=0" ref="B49"/>
    <hyperlink r:id="rId49" location="gid=0" ref="B50"/>
    <hyperlink r:id="rId50" location="gid=0((((" ref="B51"/>
    <hyperlink r:id="rId51" location="gid=0" ref="B52"/>
    <hyperlink r:id="rId52" location="gid=0" ref="B53"/>
    <hyperlink r:id="rId53" location="gid=0" ref="B54"/>
  </hyperlinks>
  <drawing r:id="rId54"/>
  <legacyDrawing r:id="rId5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 t="s">
        <v>84</v>
      </c>
      <c r="B1" s="10" t="s">
        <v>85</v>
      </c>
      <c r="D1" s="11" t="str">
        <f>CONCATENATE(#REF!,"!a3:z3")</f>
        <v>#REF!</v>
      </c>
    </row>
    <row r="2">
      <c r="A2" s="9" t="s">
        <v>86</v>
      </c>
      <c r="B2" s="12" t="s">
        <v>87</v>
      </c>
    </row>
    <row r="3">
      <c r="A3" s="9" t="s">
        <v>88</v>
      </c>
      <c r="B3" s="13" t="s">
        <v>89</v>
      </c>
    </row>
    <row r="4">
      <c r="B4" s="14"/>
      <c r="C4" s="9" t="s">
        <v>90</v>
      </c>
      <c r="D4" s="9" t="s">
        <v>91</v>
      </c>
      <c r="E4" s="9" t="s">
        <v>92</v>
      </c>
    </row>
    <row r="5">
      <c r="A5" s="15">
        <f>'Past Freezes'!A3</f>
        <v>44330</v>
      </c>
      <c r="B5" s="16" t="str">
        <f>'Past Freezes'!B3</f>
        <v>https://docs.google.com/spreadsheets/d/1Snr5hQqQCUj912WHVS0XqXB8d0kYNX5sRAhjuBonThQ/edit#gid=2135279250</v>
      </c>
      <c r="C5" s="11" t="str">
        <f>IFERROR(__xludf.DUMMYFUNCTION("Match($B$1,IMPORTRANGE(B5,""Coin Stats!a$3:zz$3""),0)"),"#REF!")</f>
        <v>#REF!</v>
      </c>
      <c r="D5" s="17" t="str">
        <f>IFERROR(__xludf.DUMMYFUNCTION("Match($B$3,IMPORTRANGE(B5,""Coin Stats!a:a""),0)"),"#REF!")</f>
        <v>#REF!</v>
      </c>
      <c r="E5" s="11" t="str">
        <f>IFERROR(__xludf.DUMMYFUNCTION("index(IMPORTRANGE(B5,""Coin Stats!a:zz""),D5, C5)"),"#REF!")</f>
        <v>#REF!</v>
      </c>
    </row>
    <row r="6">
      <c r="A6" s="15">
        <f>'Past Freezes'!A4</f>
        <v>44337</v>
      </c>
      <c r="B6" s="16" t="str">
        <f>'Past Freezes'!B4</f>
        <v>https://docs.google.com/spreadsheets/d/15Bhwdhe_FDFAVvo-Kabo5L_rQ9JvTBb1tR0VE2Gu9sU/edit#gid=622029069</v>
      </c>
      <c r="C6" s="11">
        <f>IFERROR(__xludf.DUMMYFUNCTION("Match($B$1,IMPORTRANGE(B6,""Coin Stats!a$3:zz$3""),0)"),34.0)</f>
        <v>34</v>
      </c>
      <c r="D6" s="17">
        <f>IFERROR(__xludf.DUMMYFUNCTION("Match($B$3,IMPORTRANGE(B6,""Coin Stats!a:a""),0)"),6.0)</f>
        <v>6</v>
      </c>
      <c r="E6" s="11">
        <f>IFERROR(__xludf.DUMMYFUNCTION("index(IMPORTRANGE(B6,""Coin Stats!a:zz""),D6, C6)"),0.0)</f>
        <v>0</v>
      </c>
    </row>
    <row r="7">
      <c r="A7" s="15">
        <f>'Past Freezes'!A5</f>
        <v>44340</v>
      </c>
      <c r="B7" s="16" t="str">
        <f>'Past Freezes'!B5</f>
        <v>https://docs.google.com/spreadsheets/d/1gTysv_SRYx92BmwaXQE1pkcVunF5kPmTlCqA5qpzcCU/edit#gid=622029069</v>
      </c>
      <c r="C7" s="11">
        <f>IFERROR(__xludf.DUMMYFUNCTION("Match($B$1,IMPORTRANGE(B7,""Coin Stats!a$3:zz$3""),0)"),36.0)</f>
        <v>36</v>
      </c>
      <c r="D7" s="17">
        <f>IFERROR(__xludf.DUMMYFUNCTION("Match($B$3,IMPORTRANGE(B7,""Coin Stats!a:a""),0)"),6.0)</f>
        <v>6</v>
      </c>
      <c r="E7" s="11">
        <f>IFERROR(__xludf.DUMMYFUNCTION("index(IMPORTRANGE(B7,""Coin Stats!a:zz""),D7, C7)"),0.0)</f>
        <v>0</v>
      </c>
    </row>
    <row r="8">
      <c r="A8" s="15">
        <f>'Past Freezes'!A6</f>
        <v>44344</v>
      </c>
      <c r="B8" s="16" t="str">
        <f>'Past Freezes'!B6</f>
        <v>https://docs.google.com/spreadsheets/d/1RT1rfxt10cnPieHu4OZFg4N29CSyIjYvT2cGf4gVuVk/edit#gid=622029069</v>
      </c>
      <c r="C8" s="11">
        <f>IFERROR(__xludf.DUMMYFUNCTION("Match($B$1,IMPORTRANGE(B8,""Coin Stats!a$3:zz$3""),0)"),43.0)</f>
        <v>43</v>
      </c>
      <c r="D8" s="17">
        <f>IFERROR(__xludf.DUMMYFUNCTION("Match($B$3,IMPORTRANGE(B8,""Coin Stats!a:a""),0)"),6.0)</f>
        <v>6</v>
      </c>
      <c r="E8" s="11">
        <f>IFERROR(__xludf.DUMMYFUNCTION("index(IMPORTRANGE(B8,""Coin Stats!a:zz""),D8, C8)"),0.0)</f>
        <v>0</v>
      </c>
    </row>
    <row r="9">
      <c r="A9" s="15">
        <f>'Past Freezes'!A7</f>
        <v>44351</v>
      </c>
      <c r="B9" s="16" t="str">
        <f>'Past Freezes'!B7</f>
        <v>https://docs.google.com/spreadsheets/d/1Wa37CsJrGOqz9vsmzMCK_d6insi1aEfsl9ThKP-gp98/edit#gid=622029069</v>
      </c>
      <c r="C9" s="11">
        <f>IFERROR(__xludf.DUMMYFUNCTION("Match($B$1,IMPORTRANGE(B9,""Coin Stats!a$3:zz$3""),0)"),69.0)</f>
        <v>69</v>
      </c>
      <c r="D9" s="17">
        <f>IFERROR(__xludf.DUMMYFUNCTION("Match($B$3,IMPORTRANGE(B9,""Coin Stats!a:a""),0)"),6.0)</f>
        <v>6</v>
      </c>
      <c r="E9" s="11">
        <f>IFERROR(__xludf.DUMMYFUNCTION("index(IMPORTRANGE(B9,""Coin Stats!a:zz""),D9, C9)"),0.0)</f>
        <v>0</v>
      </c>
    </row>
    <row r="10">
      <c r="A10" s="15">
        <f>'Past Freezes'!A8</f>
        <v>44358</v>
      </c>
      <c r="B10" s="16" t="str">
        <f>'Past Freezes'!B8</f>
        <v>https://docs.google.com/spreadsheets/d/1lSetu7RJILWgdDUcsQTzooHuTAQhoi1AyrbFapY2s2s/edit#gid=622029069</v>
      </c>
      <c r="C10" s="11">
        <f>IFERROR(__xludf.DUMMYFUNCTION("Match($B$1,IMPORTRANGE(B10,""Coin Stats!a$3:zz$3""),0)"),40.0)</f>
        <v>40</v>
      </c>
      <c r="D10" s="17">
        <f>IFERROR(__xludf.DUMMYFUNCTION("Match($B$3,IMPORTRANGE(B10,""Coin Stats!a:a""),0)"),6.0)</f>
        <v>6</v>
      </c>
      <c r="E10" s="11">
        <f>IFERROR(__xludf.DUMMYFUNCTION("index(IMPORTRANGE(B10,""Coin Stats!a:zz""),D10, C10)"),0.0)</f>
        <v>0</v>
      </c>
    </row>
    <row r="11">
      <c r="A11" s="15">
        <f>'Past Freezes'!A9</f>
        <v>44365</v>
      </c>
      <c r="B11" s="16" t="str">
        <f>'Past Freezes'!B9</f>
        <v>https://docs.google.com/spreadsheets/d/1Fpt02Z7IYyIAM_8tGeuPhQ2pNrFriITk4zKU1UFogyw/edit#gid=622029069</v>
      </c>
      <c r="C11" s="11">
        <f>IFERROR(__xludf.DUMMYFUNCTION("Match($B$1,IMPORTRANGE(B11,""Coin Stats!a$3:zz$3""),0)"),40.0)</f>
        <v>40</v>
      </c>
      <c r="D11" s="17">
        <f>IFERROR(__xludf.DUMMYFUNCTION("Match($B$3,IMPORTRANGE(B11,""Coin Stats!a:a""),0)"),6.0)</f>
        <v>6</v>
      </c>
      <c r="E11" s="11">
        <f>IFERROR(__xludf.DUMMYFUNCTION("index(IMPORTRANGE(B11,""Coin Stats!a:zz""),D11, C11)"),0.0)</f>
        <v>0</v>
      </c>
    </row>
    <row r="12">
      <c r="A12" s="15">
        <f>'Past Freezes'!A10</f>
        <v>44372</v>
      </c>
      <c r="B12" s="16" t="str">
        <f>'Past Freezes'!B10</f>
        <v>https://docs.google.com/spreadsheets/d/1ndO6hS1i57aUcGc6LkGwirqM5rDr5vQ-RlKbYhmf-7A/edit#gid=622029069</v>
      </c>
      <c r="C12" s="11">
        <f>IFERROR(__xludf.DUMMYFUNCTION("Match($B$1,IMPORTRANGE(B12,""Coin Stats!a$3:zz$3""),0)"),40.0)</f>
        <v>40</v>
      </c>
      <c r="D12" s="17">
        <f>IFERROR(__xludf.DUMMYFUNCTION("Match($B$3,IMPORTRANGE(B12,""Coin Stats!a:a""),0)"),7.0)</f>
        <v>7</v>
      </c>
      <c r="E12" s="11">
        <f>IFERROR(__xludf.DUMMYFUNCTION("index(IMPORTRANGE(B12,""Coin Stats!a:zz""),D12, C12)"),0.0)</f>
        <v>0</v>
      </c>
    </row>
    <row r="13">
      <c r="A13" s="15">
        <f>'Past Freezes'!A11</f>
        <v>44377</v>
      </c>
      <c r="B13" s="16" t="str">
        <f>'Past Freezes'!B11</f>
        <v>https://docs.google.com/spreadsheets/d/1X_9qOKVfxYB8SRIB29YjWu3Op9VndKvpyFx-BvFwx9U/edit#gid=622029069</v>
      </c>
      <c r="C13" s="11">
        <f>IFERROR(__xludf.DUMMYFUNCTION("Match($B$1,IMPORTRANGE(B13,""Coin Stats!a$3:zz$3""),0)"),40.0)</f>
        <v>40</v>
      </c>
      <c r="D13" s="17">
        <f>IFERROR(__xludf.DUMMYFUNCTION("Match($B$3,IMPORTRANGE(B13,""Coin Stats!a:a""),0)"),7.0)</f>
        <v>7</v>
      </c>
      <c r="E13" s="11">
        <f>IFERROR(__xludf.DUMMYFUNCTION("index(IMPORTRANGE(B13,""Coin Stats!a:zz""),D13, C13)"),0.0)</f>
        <v>0</v>
      </c>
    </row>
    <row r="14">
      <c r="A14" s="15">
        <f>'Past Freezes'!A12</f>
        <v>44386</v>
      </c>
      <c r="B14" s="16" t="str">
        <f>'Past Freezes'!B12</f>
        <v>https://docs.google.com/spreadsheets/d/1xFNOsSTp7a5pEP84_GauaE9DssINfAEznCYqe90AWtA/edit#gid=622029069</v>
      </c>
      <c r="C14" s="11">
        <f>IFERROR(__xludf.DUMMYFUNCTION("Match($B$1,IMPORTRANGE(B14,""Coin Stats!a$3:zz$3""),0)"),40.0)</f>
        <v>40</v>
      </c>
      <c r="D14" s="17">
        <f>IFERROR(__xludf.DUMMYFUNCTION("Match($B$3,IMPORTRANGE(B14,""Coin Stats!a:a""),0)"),7.0)</f>
        <v>7</v>
      </c>
      <c r="E14" s="11">
        <f>IFERROR(__xludf.DUMMYFUNCTION("index(IMPORTRANGE(B14,""Coin Stats!a:zz""),D14, C14)"),0.0)</f>
        <v>0</v>
      </c>
    </row>
    <row r="15">
      <c r="A15" s="15">
        <f>'Past Freezes'!A13</f>
        <v>44393</v>
      </c>
      <c r="B15" s="16" t="str">
        <f>'Past Freezes'!B13</f>
        <v>https://docs.google.com/spreadsheets/d/14wJif0S3W8TBA1TTV9p02i6DY6_3645aC2vzn4rbJto/edit#gid=622029069</v>
      </c>
      <c r="C15" s="11">
        <f>IFERROR(__xludf.DUMMYFUNCTION("Match($B$1,IMPORTRANGE(B15,""Coin Stats!a$3:zz$3""),0)"),41.0)</f>
        <v>41</v>
      </c>
      <c r="D15" s="17">
        <f>IFERROR(__xludf.DUMMYFUNCTION("Match($B$3,IMPORTRANGE(B15,""Coin Stats!a:a""),0)"),7.0)</f>
        <v>7</v>
      </c>
      <c r="E15" s="11">
        <f>IFERROR(__xludf.DUMMYFUNCTION("index(IMPORTRANGE(B15,""Coin Stats!a:zz""),D15, C15)"),0.0)</f>
        <v>0</v>
      </c>
    </row>
    <row r="16">
      <c r="A16" s="15">
        <f>'Past Freezes'!A14</f>
        <v>44400</v>
      </c>
      <c r="B16" s="16" t="str">
        <f>'Past Freezes'!B14</f>
        <v>https://docs.google.com/spreadsheets/d/1Q8B3iDKvExYAIXlccoG68ezFgAuboTHZ42V_ut24_5U/edit#gid=622029069</v>
      </c>
      <c r="C16" s="11">
        <f>IFERROR(__xludf.DUMMYFUNCTION("Match($B$1,IMPORTRANGE(B16,""Coin Stats!a$3:zz$3""),0)"),41.0)</f>
        <v>41</v>
      </c>
      <c r="D16" s="17">
        <f>IFERROR(__xludf.DUMMYFUNCTION("Match($B$3,IMPORTRANGE(B16,""Coin Stats!a:a""),0)"),7.0)</f>
        <v>7</v>
      </c>
      <c r="E16" s="11">
        <f>IFERROR(__xludf.DUMMYFUNCTION("index(IMPORTRANGE(B16,""Coin Stats!a:zz""),D16, C16)"),0.0)</f>
        <v>0</v>
      </c>
    </row>
    <row r="17">
      <c r="A17" s="15">
        <f>'Past Freezes'!A15</f>
        <v>44407</v>
      </c>
      <c r="B17" s="16" t="str">
        <f>'Past Freezes'!B15</f>
        <v>https://docs.google.com/spreadsheets/d/1CbB66igOAZDvuMltWAsD7kedcJBxNojNfVGwe35GKxk/edit#gid=622029069</v>
      </c>
      <c r="C17" s="11">
        <f>IFERROR(__xludf.DUMMYFUNCTION("Match($B$1,IMPORTRANGE(B17,""Coin Stats!a$3:zz$3""),0)"),41.0)</f>
        <v>41</v>
      </c>
      <c r="D17" s="17">
        <f>IFERROR(__xludf.DUMMYFUNCTION("Match($B$3,IMPORTRANGE(B17,""Coin Stats!a:a""),0)"),7.0)</f>
        <v>7</v>
      </c>
      <c r="E17" s="11">
        <f>IFERROR(__xludf.DUMMYFUNCTION("index(IMPORTRANGE(B17,""Coin Stats!a:zz""),D17, C17)"),0.0)</f>
        <v>0</v>
      </c>
    </row>
    <row r="18">
      <c r="A18" s="15">
        <f>'Past Freezes'!A16</f>
        <v>44411</v>
      </c>
      <c r="B18" s="16" t="str">
        <f>'Past Freezes'!B16</f>
        <v>https://docs.google.com/spreadsheets/d/15udcUS_T7h_uzDvNuYTLASM1mIRpGTDgmDMrQJ5KTos/edit#gid=622029069</v>
      </c>
      <c r="C18" s="11">
        <f>IFERROR(__xludf.DUMMYFUNCTION("Match($B$1,IMPORTRANGE(B18,""Coin Stats!a$3:zz$3""),0)"),40.0)</f>
        <v>40</v>
      </c>
      <c r="D18" s="17">
        <f>IFERROR(__xludf.DUMMYFUNCTION("Match($B$3,IMPORTRANGE(B18,""Coin Stats!a:a""),0)"),7.0)</f>
        <v>7</v>
      </c>
      <c r="E18" s="11">
        <f>IFERROR(__xludf.DUMMYFUNCTION("index(IMPORTRANGE(B18,""Coin Stats!a:zz""),D18, C18)"),0.0)</f>
        <v>0</v>
      </c>
    </row>
    <row r="19">
      <c r="A19" s="15">
        <f>'Past Freezes'!A17</f>
        <v>44414</v>
      </c>
      <c r="B19" s="16" t="str">
        <f>'Past Freezes'!B17</f>
        <v>https://docs.google.com/spreadsheets/d/1J_GDSdhXe-E6Tr4jshfVn9GZASaZ5x0WBBlCX90WTPo/edit#gid=622029069</v>
      </c>
      <c r="C19" s="11">
        <f>IFERROR(__xludf.DUMMYFUNCTION("Match($B$1,IMPORTRANGE(B19,""Coin Stats!a$3:zz$3""),0)"),40.0)</f>
        <v>40</v>
      </c>
      <c r="D19" s="17">
        <f>IFERROR(__xludf.DUMMYFUNCTION("Match($B$3,IMPORTRANGE(B19,""Coin Stats!a:a""),0)"),7.0)</f>
        <v>7</v>
      </c>
      <c r="E19" s="11">
        <f>IFERROR(__xludf.DUMMYFUNCTION("index(IMPORTRANGE(B19,""Coin Stats!a:zz""),D19, C19)"),0.0)</f>
        <v>0</v>
      </c>
    </row>
    <row r="20">
      <c r="A20" s="15">
        <f>'Past Freezes'!A18</f>
        <v>44418</v>
      </c>
      <c r="B20" s="16" t="str">
        <f>'Past Freezes'!B18</f>
        <v>https://docs.google.com/spreadsheets/d/1hW7WGEQvWTuSo1h-9lhXdeLOX5GzRQ5LmqVLDsWr2mM/edit#gid=622029069</v>
      </c>
      <c r="C20" s="11">
        <f>IFERROR(__xludf.DUMMYFUNCTION("Match($B$1,IMPORTRANGE(B20,""Coin Stats!a$3:zz$3""),0)"),40.0)</f>
        <v>40</v>
      </c>
      <c r="D20" s="17">
        <f>IFERROR(__xludf.DUMMYFUNCTION("Match($B$3,IMPORTRANGE(B20,""Coin Stats!a:a""),0)"),7.0)</f>
        <v>7</v>
      </c>
      <c r="E20" s="11">
        <f>IFERROR(__xludf.DUMMYFUNCTION("index(IMPORTRANGE(B20,""Coin Stats!a:zz""),D20, C20)"),0.0)</f>
        <v>0</v>
      </c>
    </row>
    <row r="21">
      <c r="A21" s="15">
        <f>'Past Freezes'!A19</f>
        <v>44421</v>
      </c>
      <c r="B21" s="16" t="str">
        <f>'Past Freezes'!B19</f>
        <v>https://docs.google.com/spreadsheets/d/1tGWdkvBHgVVt1Xb_9Gn9ID_k2CeojMbh8zA4N0uykP8/edit#gid=622029069</v>
      </c>
      <c r="C21" s="11">
        <f>IFERROR(__xludf.DUMMYFUNCTION("Match($B$1,IMPORTRANGE(B21,""Coin Stats!a$3:zz$3""),0)"),40.0)</f>
        <v>40</v>
      </c>
      <c r="D21" s="17">
        <f>IFERROR(__xludf.DUMMYFUNCTION("Match($B$3,IMPORTRANGE(B21,""Coin Stats!a:a""),0)"),7.0)</f>
        <v>7</v>
      </c>
      <c r="E21" s="11">
        <f>IFERROR(__xludf.DUMMYFUNCTION("index(IMPORTRANGE(B21,""Coin Stats!a:zz""),D21, C21)"),0.0)</f>
        <v>0</v>
      </c>
    </row>
    <row r="22">
      <c r="A22" s="15">
        <f>'Past Freezes'!A20</f>
        <v>44428</v>
      </c>
      <c r="B22" s="16" t="str">
        <f>'Past Freezes'!B20</f>
        <v>https://docs.google.com/spreadsheets/d/1JQI7TJRfrALaSMy81x0eFiZlTu5hwAixA2ddRpL82pU/edit#gid=622029069</v>
      </c>
      <c r="C22" s="11">
        <f>IFERROR(__xludf.DUMMYFUNCTION("Match($B$1,IMPORTRANGE(B22,""Coin Stats!a$3:zz$3""),0)"),54.0)</f>
        <v>54</v>
      </c>
      <c r="D22" s="17">
        <f>IFERROR(__xludf.DUMMYFUNCTION("Match($B$3,IMPORTRANGE(B22,""Coin Stats!a:a""),0)"),7.0)</f>
        <v>7</v>
      </c>
      <c r="E22" s="11">
        <f>IFERROR(__xludf.DUMMYFUNCTION("index(IMPORTRANGE(B22,""Coin Stats!a:zz""),D22, C22)"),0.0)</f>
        <v>0</v>
      </c>
    </row>
    <row r="23">
      <c r="A23" s="11" t="str">
        <f>'Past Freezes'!A21</f>
        <v>August 24-prelim</v>
      </c>
      <c r="B23" s="16" t="str">
        <f>'Past Freezes'!B21</f>
        <v>https://docs.google.com/spreadsheets/d/1ADNY1vjTouWSaGeYTrE75VJY9yxI4qSwlF6oB-3qH7M/edit#gid=622029069</v>
      </c>
      <c r="C23" s="11">
        <f>IFERROR(__xludf.DUMMYFUNCTION("Match($B$1,IMPORTRANGE(B23,""Coin Stats!a$3:zz$3""),0)"),54.0)</f>
        <v>54</v>
      </c>
      <c r="D23" s="17">
        <f>IFERROR(__xludf.DUMMYFUNCTION("Match($B$3,IMPORTRANGE(B23,""Coin Stats!a:a""),0)"),7.0)</f>
        <v>7</v>
      </c>
      <c r="E23" s="11">
        <f>IFERROR(__xludf.DUMMYFUNCTION("index(IMPORTRANGE(B23,""Coin Stats!a:zz""),D23, C23)"),0.0)</f>
        <v>0</v>
      </c>
    </row>
    <row r="24">
      <c r="A24" s="15">
        <f>'Past Freezes'!A22</f>
        <v>44432</v>
      </c>
      <c r="B24" s="16" t="str">
        <f>'Past Freezes'!B22</f>
        <v>https://docs.google.com/spreadsheets/d/14k323azDPGbcs2Yb606D3_RU7EuR25wYrbxWcE6Avv4/edit#gid=622029069</v>
      </c>
      <c r="C24" s="11">
        <f>IFERROR(__xludf.DUMMYFUNCTION("Match($B$1,IMPORTRANGE(B24,""Coin Stats!a$3:zz$3""),0)"),54.0)</f>
        <v>54</v>
      </c>
      <c r="D24" s="17">
        <f>IFERROR(__xludf.DUMMYFUNCTION("Match($B$3,IMPORTRANGE(B24,""Coin Stats!a:a""),0)"),7.0)</f>
        <v>7</v>
      </c>
      <c r="E24" s="11">
        <f>IFERROR(__xludf.DUMMYFUNCTION("index(IMPORTRANGE(B24,""Coin Stats!a:zz""),D24, C24)"),0.0)</f>
        <v>0</v>
      </c>
    </row>
    <row r="25">
      <c r="A25" s="15">
        <f>'Past Freezes'!A23</f>
        <v>44435</v>
      </c>
      <c r="B25" s="16" t="str">
        <f>'Past Freezes'!B23</f>
        <v>https://docs.google.com/spreadsheets/d/1YFUuoxlFCe0ZBOvX31Fp-OtzfzEvgOa2JfZ96Eoo75c/edit#gid=622029069</v>
      </c>
      <c r="C25" s="11">
        <f>IFERROR(__xludf.DUMMYFUNCTION("Match($B$1,IMPORTRANGE(B25,""Coin Stats!a$3:zz$3""),0)"),54.0)</f>
        <v>54</v>
      </c>
      <c r="D25" s="17">
        <f>IFERROR(__xludf.DUMMYFUNCTION("Match($B$3,IMPORTRANGE(B25,""Coin Stats!a:a""),0)"),7.0)</f>
        <v>7</v>
      </c>
      <c r="E25" s="11">
        <f>IFERROR(__xludf.DUMMYFUNCTION("index(IMPORTRANGE(B25,""Coin Stats!a:zz""),D25, C25)"),0.0)</f>
        <v>0</v>
      </c>
    </row>
    <row r="26">
      <c r="A26" s="15">
        <f>'Past Freezes'!A24</f>
        <v>44439</v>
      </c>
      <c r="B26" s="16" t="str">
        <f>'Past Freezes'!B24</f>
        <v>https://docs.google.com/spreadsheets/d/1AlmGrWNltLFMiji81gfezXTQT4mb_1OMwPfIzzZXTrM/edit#gid=622029069</v>
      </c>
      <c r="C26" s="11">
        <f>IFERROR(__xludf.DUMMYFUNCTION("Match($B$1,IMPORTRANGE(B26,""Coin Stats!a$3:zz$3""),0)"),54.0)</f>
        <v>54</v>
      </c>
      <c r="D26" s="17">
        <f>IFERROR(__xludf.DUMMYFUNCTION("Match($B$3,IMPORTRANGE(B26,""Coin Stats!a:a""),0)"),7.0)</f>
        <v>7</v>
      </c>
      <c r="E26" s="11">
        <f>IFERROR(__xludf.DUMMYFUNCTION("index(IMPORTRANGE(B26,""Coin Stats!a:zz""),D26, C26)"),0.0)</f>
        <v>0</v>
      </c>
    </row>
    <row r="27">
      <c r="A27" s="11" t="str">
        <f>'Past Freezes'!A25</f>
        <v>September 3- prelim</v>
      </c>
      <c r="B27" s="16" t="str">
        <f>'Past Freezes'!B25</f>
        <v>https://docs.google.com/spreadsheets/d/1CzqlXd6fW7lUOrsjf3NJdcioKvUzWuri8jAmX9Dx99s/edit#gid=622029069</v>
      </c>
      <c r="C27" s="11">
        <f>IFERROR(__xludf.DUMMYFUNCTION("Match($B$1,IMPORTRANGE(B27,""Coin Stats!a$3:zz$3""),0)"),54.0)</f>
        <v>54</v>
      </c>
      <c r="D27" s="17">
        <f>IFERROR(__xludf.DUMMYFUNCTION("Match($B$3,IMPORTRANGE(B27,""Coin Stats!a:a""),0)"),7.0)</f>
        <v>7</v>
      </c>
      <c r="E27" s="11">
        <f>IFERROR(__xludf.DUMMYFUNCTION("index(IMPORTRANGE(B27,""Coin Stats!a:zz""),D27, C27)"),0.0)</f>
        <v>0</v>
      </c>
    </row>
    <row r="28">
      <c r="A28" s="15">
        <f>'Past Freezes'!A26</f>
        <v>44442</v>
      </c>
      <c r="B28" s="16" t="str">
        <f>'Past Freezes'!B26</f>
        <v>https://docs.google.com/spreadsheets/d/1dG8t2eOeVsdfRM0e-p5MxIJKUU2wJo-LGNnRM4oLMsc/edit#gid=622029069</v>
      </c>
      <c r="C28" s="11">
        <f>IFERROR(__xludf.DUMMYFUNCTION("Match($B$1,IMPORTRANGE(B28,""Coin Stats!a$3:zz$3""),0)"),54.0)</f>
        <v>54</v>
      </c>
      <c r="D28" s="17">
        <f>IFERROR(__xludf.DUMMYFUNCTION("Match($B$3,IMPORTRANGE(B28,""Coin Stats!a:a""),0)"),7.0)</f>
        <v>7</v>
      </c>
      <c r="E28" s="11">
        <f>IFERROR(__xludf.DUMMYFUNCTION("index(IMPORTRANGE(B28,""Coin Stats!a:zz""),D28, C28)"),0.0)</f>
        <v>0</v>
      </c>
    </row>
    <row r="29">
      <c r="A29" s="15">
        <f>'Past Freezes'!A27</f>
        <v>44446</v>
      </c>
      <c r="B29" s="16" t="str">
        <f>'Past Freezes'!B27</f>
        <v>https://docs.google.com/spreadsheets/d/1FCZG2t4HXOOq6Ge8Wf7INMgha7_ts_V18n4GaX9ROXs/edit#gid=622029069</v>
      </c>
      <c r="C29" s="11">
        <f>IFERROR(__xludf.DUMMYFUNCTION("Match($B$1,IMPORTRANGE(B29,""Coin Stats!a$3:zz$3""),0)"),54.0)</f>
        <v>54</v>
      </c>
      <c r="D29" s="17">
        <f>IFERROR(__xludf.DUMMYFUNCTION("Match($B$3,IMPORTRANGE(B29,""Coin Stats!a:a""),0)"),7.0)</f>
        <v>7</v>
      </c>
      <c r="E29" s="11">
        <f>IFERROR(__xludf.DUMMYFUNCTION("index(IMPORTRANGE(B29,""Coin Stats!a:zz""),D29, C29)"),0.0)</f>
        <v>0</v>
      </c>
    </row>
    <row r="30">
      <c r="A30" s="11" t="str">
        <f>'Past Freezes'!A28</f>
        <v>September 10- prelim</v>
      </c>
      <c r="B30" s="16" t="str">
        <f>'Past Freezes'!B28</f>
        <v>https://docs.google.com/spreadsheets/d/147ZIb29xXZ8_wwQYOyC_LpF1qNTomYQy8yVOmknBezw/edit#gid=263247883</v>
      </c>
      <c r="C30" s="11">
        <f>IFERROR(__xludf.DUMMYFUNCTION("Match($B$1,IMPORTRANGE(B30,""Coin Stats!a$3:zz$3""),0)"),54.0)</f>
        <v>54</v>
      </c>
      <c r="D30" s="17">
        <f>IFERROR(__xludf.DUMMYFUNCTION("Match($B$3,IMPORTRANGE(B30,""Coin Stats!a:a""),0)"),7.0)</f>
        <v>7</v>
      </c>
      <c r="E30" s="11">
        <f>IFERROR(__xludf.DUMMYFUNCTION("index(IMPORTRANGE(B30,""Coin Stats!a:zz""),D30, C30)"),0.0)</f>
        <v>0</v>
      </c>
    </row>
    <row r="31">
      <c r="A31" s="15">
        <f>'Past Freezes'!A29</f>
        <v>44456</v>
      </c>
      <c r="B31" s="16" t="str">
        <f>'Past Freezes'!B29</f>
        <v>https://docs.google.com/spreadsheets/d/14BfQ2_DxJsx11gzWjRk1a7AUwFaX3HwL_snQrB7saD8/edit#gid=622029069</v>
      </c>
      <c r="C31" s="11">
        <f>IFERROR(__xludf.DUMMYFUNCTION("Match($B$1,IMPORTRANGE(B31,""Coin Stats!a$3:zz$3""),0)"),54.0)</f>
        <v>54</v>
      </c>
      <c r="D31" s="17">
        <f>IFERROR(__xludf.DUMMYFUNCTION("Match($B$3,IMPORTRANGE(B31,""Coin Stats!a:a""),0)"),7.0)</f>
        <v>7</v>
      </c>
      <c r="E31" s="11">
        <f>IFERROR(__xludf.DUMMYFUNCTION("index(IMPORTRANGE(B31,""Coin Stats!a:zz""),D31, C31)"),0.0)</f>
        <v>0</v>
      </c>
    </row>
    <row r="32">
      <c r="A32" s="11" t="str">
        <f>'Past Freezes'!A30</f>
        <v>September 21st Prelim</v>
      </c>
      <c r="B32" s="16" t="str">
        <f>'Past Freezes'!B30</f>
        <v>https://docs.google.com/spreadsheets/d/14T050KTrEHowULGPmTDSkVAT9szMPy96Zck9JIYUg1Y/edit#gid=263247883</v>
      </c>
      <c r="C32" s="11">
        <f>IFERROR(__xludf.DUMMYFUNCTION("Match($B$1,IMPORTRANGE(B32,""Coin Stats!a$3:zz$3""),0)"),54.0)</f>
        <v>54</v>
      </c>
      <c r="D32" s="17">
        <f>IFERROR(__xludf.DUMMYFUNCTION("Match($B$3,IMPORTRANGE(B32,""Coin Stats!a:a""),0)"),7.0)</f>
        <v>7</v>
      </c>
      <c r="E32" s="11">
        <f>IFERROR(__xludf.DUMMYFUNCTION("index(IMPORTRANGE(B32,""Coin Stats!a:zz""),D32, C32)"),0.0)</f>
        <v>0</v>
      </c>
    </row>
    <row r="33">
      <c r="A33" s="11" t="str">
        <f>'Past Freezes'!A31</f>
        <v>September 21st </v>
      </c>
      <c r="B33" s="16" t="str">
        <f>'Past Freezes'!B31</f>
        <v>https://docs.google.com/spreadsheets/d/18TrQZs4Iv6kmgRrqnKgspEj2M0iXdOG0bdYzvGSl51c/edit#gid=1256055019</v>
      </c>
      <c r="C33" s="11">
        <f>IFERROR(__xludf.DUMMYFUNCTION("Match($B$1,IMPORTRANGE(B33,""Coin Stats!a$3:zz$3""),0)"),54.0)</f>
        <v>54</v>
      </c>
      <c r="D33" s="17">
        <f>IFERROR(__xludf.DUMMYFUNCTION("Match($B$3,IMPORTRANGE(B33,""Coin Stats!a:a""),0)"),7.0)</f>
        <v>7</v>
      </c>
      <c r="E33" s="11">
        <f>IFERROR(__xludf.DUMMYFUNCTION("index(IMPORTRANGE(B33,""Coin Stats!a:zz""),D33, C33)"),0.0)</f>
        <v>0</v>
      </c>
    </row>
    <row r="34">
      <c r="A34" s="11" t="str">
        <f>'Past Freezes'!A32</f>
        <v>September 24th</v>
      </c>
      <c r="B34" s="16" t="str">
        <f>'Past Freezes'!B32</f>
        <v>https://docs.google.com/spreadsheets/d/1zrBN1i-yvlEbiiPHtuYm6yBK2xAD1NtbuoQrr_ZI6-M/edit#gid=0</v>
      </c>
      <c r="C34" s="11">
        <f>IFERROR(__xludf.DUMMYFUNCTION("Match($B$1,IMPORTRANGE(B34,""Coin Stats!a$3:zz$3""),0)"),54.0)</f>
        <v>54</v>
      </c>
      <c r="D34" s="17">
        <f>IFERROR(__xludf.DUMMYFUNCTION("Match($B$3,IMPORTRANGE(B34,""Coin Stats!a:a""),0)"),7.0)</f>
        <v>7</v>
      </c>
      <c r="E34" s="11">
        <f>IFERROR(__xludf.DUMMYFUNCTION("index(IMPORTRANGE(B34,""Coin Stats!a:zz""),D34, C34)"),0.0)</f>
        <v>0</v>
      </c>
    </row>
    <row r="35">
      <c r="A35" s="11" t="str">
        <f>'Past Freezes'!A33</f>
        <v>September 28th</v>
      </c>
      <c r="B35" s="16" t="str">
        <f>'Past Freezes'!B33</f>
        <v>https://docs.google.com/spreadsheets/d/143UvFbPUXfzPW8A92oADau1_KNA1suNquf9uGewGv9o/edit#gid=263247883</v>
      </c>
      <c r="C35" s="11">
        <f>IFERROR(__xludf.DUMMYFUNCTION("Match($B$1,IMPORTRANGE(B35,""Coin Stats!a$3:zz$3""),0)"),54.0)</f>
        <v>54</v>
      </c>
      <c r="D35" s="17">
        <f>IFERROR(__xludf.DUMMYFUNCTION("Match($B$3,IMPORTRANGE(B35,""Coin Stats!a:a""),0)"),7.0)</f>
        <v>7</v>
      </c>
      <c r="E35" s="11">
        <f>IFERROR(__xludf.DUMMYFUNCTION("index(IMPORTRANGE(B35,""Coin Stats!a:zz""),D35, C35)"),0.0)</f>
        <v>0</v>
      </c>
    </row>
    <row r="36">
      <c r="A36" s="11" t="str">
        <f>'Past Freezes'!A34</f>
        <v>September 30th</v>
      </c>
      <c r="B36" s="16" t="str">
        <f>'Past Freezes'!B34</f>
        <v>https://docs.google.com/spreadsheets/d/1oGlR7AsWvbfbhbIwRIsgSaZBZTe9vlJomBKAUiov-3c/edit#gid=263247883</v>
      </c>
      <c r="C36" s="11">
        <f>IFERROR(__xludf.DUMMYFUNCTION("Match($B$1,IMPORTRANGE(B36,""Coin Stats!a$3:zz$3""),0)"),54.0)</f>
        <v>54</v>
      </c>
      <c r="D36" s="17">
        <f>IFERROR(__xludf.DUMMYFUNCTION("Match($B$3,IMPORTRANGE(B36,""Coin Stats!a:a""),0)"),7.0)</f>
        <v>7</v>
      </c>
      <c r="E36" s="11">
        <f>IFERROR(__xludf.DUMMYFUNCTION("index(IMPORTRANGE(B36,""Coin Stats!a:zz""),D36, C36)"),0.0)</f>
        <v>0</v>
      </c>
    </row>
    <row r="37">
      <c r="A37" s="11" t="str">
        <f>'Past Freezes'!A35</f>
        <v>October 5th</v>
      </c>
      <c r="B37" s="16" t="str">
        <f>'Past Freezes'!B35</f>
        <v>https://docs.google.com/spreadsheets/d/1mfydxuq97mjh7d6VwY-6ggfJnGxy7GMzNvjvmlt5iKw/edit#gid=263247883</v>
      </c>
      <c r="C37" s="11">
        <f>IFERROR(__xludf.DUMMYFUNCTION("Match($B$1,IMPORTRANGE(B37,""Coin Stats!a$3:zz$3""),0)"),54.0)</f>
        <v>54</v>
      </c>
      <c r="D37" s="17">
        <f>IFERROR(__xludf.DUMMYFUNCTION("Match($B$3,IMPORTRANGE(B37,""Coin Stats!a:a""),0)"),7.0)</f>
        <v>7</v>
      </c>
      <c r="E37" s="11">
        <f>IFERROR(__xludf.DUMMYFUNCTION("index(IMPORTRANGE(B37,""Coin Stats!a:zz""),D37, C37)"),0.0)</f>
        <v>0</v>
      </c>
    </row>
    <row r="38">
      <c r="A38" s="11" t="str">
        <f>'Past Freezes'!A36</f>
        <v>October 8th</v>
      </c>
      <c r="B38" s="16" t="str">
        <f>'Past Freezes'!B36</f>
        <v>https://docs.google.com/spreadsheets/d/1QnD-_fxBGQRm0kPVLGoIEuiJepPQZp5uHPYR-SqZxsk/edit#gid=0</v>
      </c>
      <c r="C38" s="11">
        <f>IFERROR(__xludf.DUMMYFUNCTION("Match($B$1,IMPORTRANGE(B38,""Coin Stats!a$3:zz$3""),0)"),64.0)</f>
        <v>64</v>
      </c>
      <c r="D38" s="17">
        <f>IFERROR(__xludf.DUMMYFUNCTION("Match($B$3,IMPORTRANGE(B38,""Coin Stats!a:a""),0)"),7.0)</f>
        <v>7</v>
      </c>
      <c r="E38" s="11">
        <f>IFERROR(__xludf.DUMMYFUNCTION("index(IMPORTRANGE(B38,""Coin Stats!a:zz""),D38, C38)"),0.0)</f>
        <v>0</v>
      </c>
    </row>
    <row r="39">
      <c r="A39" s="11" t="str">
        <f>'Past Freezes'!A37</f>
        <v>October 12th</v>
      </c>
      <c r="B39" s="16" t="str">
        <f>'Past Freezes'!B37</f>
        <v>https://docs.google.com/spreadsheets/d/1ec3xqxK1orxk3pJg7TR2Fu0bMY60jtt-qpgfaHizDJo/edit#gid=0</v>
      </c>
      <c r="C39" s="11">
        <f>IFERROR(__xludf.DUMMYFUNCTION("Match($B$1,IMPORTRANGE(B39,""Coin Stats!a$3:zz$3""),0)"),64.0)</f>
        <v>64</v>
      </c>
      <c r="D39" s="17">
        <f>IFERROR(__xludf.DUMMYFUNCTION("Match($B$3,IMPORTRANGE(B39,""Coin Stats!a:a""),0)"),7.0)</f>
        <v>7</v>
      </c>
      <c r="E39" s="11">
        <f>IFERROR(__xludf.DUMMYFUNCTION("index(IMPORTRANGE(B39,""Coin Stats!a:zz""),D39, C39)"),0.0)</f>
        <v>0</v>
      </c>
    </row>
    <row r="40">
      <c r="A40" s="11" t="str">
        <f>'Past Freezes'!A38</f>
        <v>October 15th</v>
      </c>
      <c r="B40" s="16" t="str">
        <f>'Past Freezes'!B38</f>
        <v>https://docs.google.com/spreadsheets/d/1H9XsuWuS2RR6IpIhOxg8XV_f79KsEh2C8sw2XVuC8Bw/edit#gid=263247883</v>
      </c>
      <c r="C40" s="11">
        <f>IFERROR(__xludf.DUMMYFUNCTION("Match($B$1,IMPORTRANGE(B40,""Coin Stats!a$3:zz$3""),0)"),66.0)</f>
        <v>66</v>
      </c>
      <c r="D40" s="17">
        <f>IFERROR(__xludf.DUMMYFUNCTION("Match($B$3,IMPORTRANGE(B40,""Coin Stats!a:a""),0)"),7.0)</f>
        <v>7</v>
      </c>
      <c r="E40" s="11">
        <f>IFERROR(__xludf.DUMMYFUNCTION("index(IMPORTRANGE(B40,""Coin Stats!a:zz""),D40, C40)"),0.0)</f>
        <v>0</v>
      </c>
    </row>
    <row r="41">
      <c r="A41" s="11" t="str">
        <f>'Past Freezes'!A39</f>
        <v>October 22nd</v>
      </c>
      <c r="B41" s="16" t="str">
        <f>'Past Freezes'!B39</f>
        <v>https://docs.google.com/spreadsheets/d/10TgYwvdCU7xRjcL7cPw8qxtAAzxNXG3pVxm6SP9FpCw/edit#gid=263247883</v>
      </c>
      <c r="C41" s="11">
        <f>IFERROR(__xludf.DUMMYFUNCTION("Match($B$1,IMPORTRANGE(B41,""Coin Stats!a$3:zz$3""),0)"),60.0)</f>
        <v>60</v>
      </c>
      <c r="D41" s="17">
        <f>IFERROR(__xludf.DUMMYFUNCTION("Match($B$3,IMPORTRANGE(B41,""Coin Stats!a:a""),0)"),7.0)</f>
        <v>7</v>
      </c>
      <c r="E41" s="11">
        <f>IFERROR(__xludf.DUMMYFUNCTION("index(IMPORTRANGE(B41,""Coin Stats!a:zz""),D41, C41)"),0.0)</f>
        <v>0</v>
      </c>
    </row>
    <row r="42">
      <c r="A42" s="11" t="str">
        <f>'Past Freezes'!A40</f>
        <v>October 26th</v>
      </c>
      <c r="B42" s="16" t="str">
        <f>'Past Freezes'!B40</f>
        <v>https://docs.google.com/spreadsheets/d/176dVLmMOcdgq_QVNkbsvJ3n9eZ4wui95GDIOv4YG1tc/edit#gid=0</v>
      </c>
      <c r="C42" s="11">
        <f>IFERROR(__xludf.DUMMYFUNCTION("Match($B$1,IMPORTRANGE(B42,""Coin Stats!a$3:zz$3""),0)"),60.0)</f>
        <v>60</v>
      </c>
      <c r="D42" s="17">
        <f>IFERROR(__xludf.DUMMYFUNCTION("Match($B$3,IMPORTRANGE(B42,""Coin Stats!a:a""),0)"),7.0)</f>
        <v>7</v>
      </c>
      <c r="E42" s="11">
        <f>IFERROR(__xludf.DUMMYFUNCTION("index(IMPORTRANGE(B42,""Coin Stats!a:zz""),D42, C42)"),0.0)</f>
        <v>0</v>
      </c>
    </row>
    <row r="43">
      <c r="A43" s="11" t="str">
        <f>'Past Freezes'!A41</f>
        <v>October 29th</v>
      </c>
      <c r="B43" s="16" t="str">
        <f>'Past Freezes'!B41</f>
        <v>https://docs.google.com/spreadsheets/d/1GOnUFPE9o6dkL4P-Uy6IRg0ZgeTj3QwIQchP-_Og1lw/edit#gid=1630204704</v>
      </c>
      <c r="C43" s="11">
        <f>IFERROR(__xludf.DUMMYFUNCTION("Match($B$1,IMPORTRANGE(B43,""Coin Stats!a$3:zz$3""),0)"),42.0)</f>
        <v>42</v>
      </c>
      <c r="D43" s="17">
        <f>IFERROR(__xludf.DUMMYFUNCTION("Match($B$3,IMPORTRANGE(B43,""Coin Stats!a:a""),0)"),7.0)</f>
        <v>7</v>
      </c>
      <c r="E43" s="11">
        <f>IFERROR(__xludf.DUMMYFUNCTION("index(IMPORTRANGE(B43,""Coin Stats!a:zz""),D43, C43)"),0.0)</f>
        <v>0</v>
      </c>
    </row>
    <row r="44">
      <c r="A44" s="11" t="str">
        <f>'Past Freezes'!A42</f>
        <v>November 5th</v>
      </c>
      <c r="B44" s="16" t="str">
        <f>'Past Freezes'!B42</f>
        <v>https://docs.google.com/spreadsheets/d/1aKqJRBxFlD3-a9zJfv5hIrOeQ5-kH2SPsofq9eDJ-wI/edit#gid=0</v>
      </c>
      <c r="C44" s="11">
        <f>IFERROR(__xludf.DUMMYFUNCTION("Match($B$1,IMPORTRANGE(B44,""Coin Stats!a$3:zz$3""),0)"),42.0)</f>
        <v>42</v>
      </c>
      <c r="D44" s="17">
        <f>IFERROR(__xludf.DUMMYFUNCTION("Match($B$3,IMPORTRANGE(B44,""Coin Stats!a:a""),0)"),7.0)</f>
        <v>7</v>
      </c>
      <c r="E44" s="11">
        <f>IFERROR(__xludf.DUMMYFUNCTION("index(IMPORTRANGE(B44,""Coin Stats!a:zz""),D44, C44)"),0.0)</f>
        <v>0</v>
      </c>
    </row>
    <row r="45">
      <c r="A45" s="11" t="str">
        <f>'Past Freezes'!A43</f>
        <v>November 9th</v>
      </c>
      <c r="B45" s="16" t="str">
        <f>'Past Freezes'!B43</f>
        <v>https://docs.google.com/spreadsheets/d/1t4-XiBAnw4ZHXdFBrVeiYkS1hf6KG9-Zl8we9X7q1AQ/edit#gid=0</v>
      </c>
      <c r="C45" s="11">
        <f>IFERROR(__xludf.DUMMYFUNCTION("Match($B$1,IMPORTRANGE(B45,""Coin Stats!a$3:zz$3""),0)"),42.0)</f>
        <v>42</v>
      </c>
      <c r="D45" s="17">
        <f>IFERROR(__xludf.DUMMYFUNCTION("Match($B$3,IMPORTRANGE(B45,""Coin Stats!a:a""),0)"),7.0)</f>
        <v>7</v>
      </c>
      <c r="E45" s="11">
        <f>IFERROR(__xludf.DUMMYFUNCTION("index(IMPORTRANGE(B45,""Coin Stats!a:zz""),D45, C45)"),0.0)</f>
        <v>0</v>
      </c>
    </row>
    <row r="46">
      <c r="A46" s="11" t="str">
        <f>'Past Freezes'!A44</f>
        <v>November 12th </v>
      </c>
      <c r="B46" s="16" t="str">
        <f>'Past Freezes'!B44</f>
        <v>https://docs.google.com/spreadsheets/d/1K7XE2HJWDz5MwIKoNEcODxi8yTAawlK9MKnRbg8NkGQ/edit#gid=0</v>
      </c>
      <c r="C46" s="11">
        <f>IFERROR(__xludf.DUMMYFUNCTION("Match($B$1,IMPORTRANGE(B46,""Coin Stats!a$3:zz$3""),0)"),42.0)</f>
        <v>42</v>
      </c>
      <c r="D46" s="17">
        <f>IFERROR(__xludf.DUMMYFUNCTION("Match($B$3,IMPORTRANGE(B46,""Coin Stats!a:a""),0)"),7.0)</f>
        <v>7</v>
      </c>
      <c r="E46" s="11">
        <f>IFERROR(__xludf.DUMMYFUNCTION("index(IMPORTRANGE(B46,""Coin Stats!a:zz""),D46, C46)"),0.0)</f>
        <v>0</v>
      </c>
    </row>
    <row r="47">
      <c r="A47" s="11" t="str">
        <f>'Past Freezes'!A45</f>
        <v>November 16th</v>
      </c>
      <c r="B47" s="16" t="str">
        <f>'Past Freezes'!B45</f>
        <v>https://docs.google.com/spreadsheets/d/1DyWfgrfr3hRhdx8wokTpYqZtrmvrlTEjwIgKvWYYC-0/edit#gid=0</v>
      </c>
      <c r="C47" s="11">
        <f>IFERROR(__xludf.DUMMYFUNCTION("Match($B$1,IMPORTRANGE(B47,""Coin Stats!a$3:zz$3""),0)"),34.0)</f>
        <v>34</v>
      </c>
      <c r="D47" s="17">
        <f>IFERROR(__xludf.DUMMYFUNCTION("Match($B$3,IMPORTRANGE(B47,""Coin Stats!a:a""),0)"),7.0)</f>
        <v>7</v>
      </c>
      <c r="E47" s="11">
        <f>IFERROR(__xludf.DUMMYFUNCTION("index(IMPORTRANGE(B47,""Coin Stats!a:zz""),D47, C47)"),0.0)</f>
        <v>0</v>
      </c>
    </row>
    <row r="48">
      <c r="A48" s="11" t="str">
        <f>'Past Freezes'!A46</f>
        <v>November 19th</v>
      </c>
      <c r="B48" s="16" t="str">
        <f>'Past Freezes'!B46</f>
        <v>https://docs.google.com/spreadsheets/d/1UIXREr-YjBRsyT2yiQB2yuwJbOHxzUZDvpnM531lePE/edit#gid=0</v>
      </c>
      <c r="C48" s="11">
        <f>IFERROR(__xludf.DUMMYFUNCTION("Match($B$1,IMPORTRANGE(B48,""Coin Stats!a$3:zz$3""),0)"),35.0)</f>
        <v>35</v>
      </c>
      <c r="D48" s="17">
        <f>IFERROR(__xludf.DUMMYFUNCTION("Match($B$3,IMPORTRANGE(B48,""Coin Stats!a:a""),0)"),7.0)</f>
        <v>7</v>
      </c>
      <c r="E48" s="11">
        <f>IFERROR(__xludf.DUMMYFUNCTION("index(IMPORTRANGE(B48,""Coin Stats!a:zz""),D48, C48)"),0.0)</f>
        <v>0</v>
      </c>
    </row>
    <row r="49">
      <c r="A49" s="11" t="str">
        <f>'Past Freezes'!A47</f>
        <v>November 23rd</v>
      </c>
      <c r="B49" s="16" t="str">
        <f>'Past Freezes'!B47</f>
        <v>https://docs.google.com/spreadsheets/d/1zpgnBKcrqTvotVoNQL7_t1xyEBaN5x4NM62_9_L3Bvs/edit#gid=0</v>
      </c>
      <c r="C49" s="11">
        <f>IFERROR(__xludf.DUMMYFUNCTION("Match($B$1,IMPORTRANGE(B49,""Coin Stats!a$3:zz$3""),0)"),35.0)</f>
        <v>35</v>
      </c>
      <c r="D49" s="17">
        <f>IFERROR(__xludf.DUMMYFUNCTION("Match($B$3,IMPORTRANGE(B49,""Coin Stats!a:a""),0)"),7.0)</f>
        <v>7</v>
      </c>
      <c r="E49" s="11">
        <f>IFERROR(__xludf.DUMMYFUNCTION("index(IMPORTRANGE(B49,""Coin Stats!a:zz""),D49, C49)"),0.0)</f>
        <v>0</v>
      </c>
    </row>
    <row r="50">
      <c r="A50" s="11" t="str">
        <f>'Past Freezes'!A48</f>
        <v>November 26th</v>
      </c>
      <c r="B50" s="16" t="str">
        <f>'Past Freezes'!B48</f>
        <v>https://docs.google.com/spreadsheets/d/1kCYPqNtGjdJdX765-pn1GdBkSFtgBFzaNeqZyyKUq9U/edit#gid=1827643887</v>
      </c>
      <c r="C50" s="11">
        <f>IFERROR(__xludf.DUMMYFUNCTION("Match($B$1,IMPORTRANGE(B50,""Coin Stats!a$3:zz$3""),0)"),35.0)</f>
        <v>35</v>
      </c>
      <c r="D50" s="17">
        <f>IFERROR(__xludf.DUMMYFUNCTION("Match($B$3,IMPORTRANGE(B50,""Coin Stats!a:a""),0)"),7.0)</f>
        <v>7</v>
      </c>
      <c r="E50" s="11">
        <f>IFERROR(__xludf.DUMMYFUNCTION("index(IMPORTRANGE(B50,""Coin Stats!a:zz""),D50, C50)"),0.0)</f>
        <v>0</v>
      </c>
    </row>
    <row r="51">
      <c r="A51" s="11" t="str">
        <f>'Past Freezes'!A49</f>
        <v>November 30th</v>
      </c>
      <c r="B51" s="16" t="str">
        <f>'Past Freezes'!B49</f>
        <v>https://docs.google.com/spreadsheets/d/1kSrGkwvlWa6XA_8bDyf2jvNRydldcRkGMutFjkqDHl0/edit#gid=0</v>
      </c>
      <c r="C51" s="11">
        <f>IFERROR(__xludf.DUMMYFUNCTION("Match($B$1,IMPORTRANGE(B51,""Coin Stats!a$3:zz$3""),0)"),35.0)</f>
        <v>35</v>
      </c>
      <c r="D51" s="17">
        <f>IFERROR(__xludf.DUMMYFUNCTION("Match($B$3,IMPORTRANGE(B51,""Coin Stats!a:a""),0)"),7.0)</f>
        <v>7</v>
      </c>
      <c r="E51" s="11">
        <f>IFERROR(__xludf.DUMMYFUNCTION("index(IMPORTRANGE(B51,""Coin Stats!a:zz""),D51, C51)"),0.0)</f>
        <v>0</v>
      </c>
    </row>
    <row r="52">
      <c r="A52" s="11" t="str">
        <f>'Past Freezes'!A50</f>
        <v>December 3rd</v>
      </c>
      <c r="B52" s="16" t="str">
        <f>'Past Freezes'!B50</f>
        <v>https://docs.google.com/spreadsheets/d/11KaZLnIXvUg9IW0o1410Jvs1WBkZB_fRQPhkYKm7XM4/edit#gid=0</v>
      </c>
      <c r="C52" s="11">
        <f>IFERROR(__xludf.DUMMYFUNCTION("Match($B$1,IMPORTRANGE(B52,""Coin Stats!a$3:zz$3""),0)"),35.0)</f>
        <v>35</v>
      </c>
      <c r="D52" s="17">
        <f>IFERROR(__xludf.DUMMYFUNCTION("Match($B$3,IMPORTRANGE(B52,""Coin Stats!a:a""),0)"),7.0)</f>
        <v>7</v>
      </c>
      <c r="E52" s="11">
        <f>IFERROR(__xludf.DUMMYFUNCTION("index(IMPORTRANGE(B52,""Coin Stats!a:zz""),D52, C52)"),0.0)</f>
        <v>0</v>
      </c>
    </row>
    <row r="53">
      <c r="A53" s="11" t="str">
        <f>'Past Freezes'!A51</f>
        <v>December 7th</v>
      </c>
      <c r="B53" s="16" t="str">
        <f>'Past Freezes'!B51</f>
        <v>https://docs.google.com/spreadsheets/d/1GTkQCYVkmmOaXZhTJb9vzP1NCHO03f6qJPXdHnljbmc/edit#gid=0((((</v>
      </c>
      <c r="C53" s="11">
        <f>IFERROR(__xludf.DUMMYFUNCTION("Match($B$1,IMPORTRANGE(B53,""Coin Stats!a$3:zz$3""),0)"),35.0)</f>
        <v>35</v>
      </c>
      <c r="D53" s="17">
        <f>IFERROR(__xludf.DUMMYFUNCTION("Match($B$3,IMPORTRANGE(B53,""Coin Stats!a:a""),0)"),7.0)</f>
        <v>7</v>
      </c>
      <c r="E53" s="11">
        <f>IFERROR(__xludf.DUMMYFUNCTION("index(IMPORTRANGE(B53,""Coin Stats!a:zz""),D53, C53)"),0.0)</f>
        <v>0</v>
      </c>
    </row>
    <row r="54">
      <c r="A54" s="11" t="str">
        <f>'Past Freezes'!A52</f>
        <v>December 10th</v>
      </c>
      <c r="B54" s="16" t="str">
        <f>'Past Freezes'!B52</f>
        <v>https://docs.google.com/spreadsheets/d/1KqnOVFE64kNqzoIoYukalRwH2zM8VYgbObv-9Hrk9hk/edit#gid=0</v>
      </c>
      <c r="C54" s="11">
        <f>IFERROR(__xludf.DUMMYFUNCTION("Match($B$1,IMPORTRANGE(B54,""Coin Stats!a$3:zz$3""),0)"),35.0)</f>
        <v>35</v>
      </c>
      <c r="D54" s="17">
        <f>IFERROR(__xludf.DUMMYFUNCTION("Match($B$3,IMPORTRANGE(B54,""Coin Stats!a:a""),0)"),7.0)</f>
        <v>7</v>
      </c>
      <c r="E54" s="11">
        <f>IFERROR(__xludf.DUMMYFUNCTION("index(IMPORTRANGE(B54,""Coin Stats!a:zz""),D54, C54)"),0.0)</f>
        <v>0</v>
      </c>
    </row>
    <row r="55">
      <c r="B55" s="14"/>
    </row>
    <row r="56">
      <c r="B56" s="14"/>
    </row>
    <row r="57">
      <c r="B57" s="14"/>
    </row>
    <row r="58">
      <c r="B58" s="14"/>
    </row>
    <row r="59">
      <c r="B59" s="14"/>
    </row>
    <row r="60">
      <c r="B60" s="14"/>
    </row>
    <row r="61">
      <c r="B61" s="14"/>
    </row>
    <row r="62">
      <c r="B62" s="14"/>
    </row>
    <row r="63">
      <c r="B63" s="14"/>
    </row>
    <row r="64">
      <c r="B64" s="14"/>
    </row>
    <row r="65">
      <c r="B65" s="14"/>
    </row>
    <row r="66">
      <c r="B66" s="14"/>
    </row>
    <row r="67">
      <c r="B67" s="14"/>
    </row>
    <row r="68">
      <c r="B68" s="14"/>
    </row>
    <row r="69">
      <c r="B69" s="14"/>
    </row>
    <row r="70">
      <c r="B70" s="14"/>
    </row>
    <row r="71">
      <c r="B71" s="14"/>
    </row>
    <row r="72">
      <c r="B72" s="14"/>
    </row>
    <row r="73">
      <c r="B73" s="14"/>
    </row>
    <row r="74">
      <c r="B74" s="14"/>
    </row>
    <row r="75">
      <c r="B75" s="14"/>
    </row>
    <row r="76">
      <c r="B76" s="14"/>
    </row>
    <row r="77">
      <c r="B77" s="14"/>
    </row>
    <row r="78">
      <c r="B78" s="14"/>
    </row>
    <row r="79">
      <c r="B79" s="14"/>
    </row>
    <row r="80">
      <c r="B80" s="14"/>
    </row>
    <row r="81">
      <c r="B81" s="14"/>
    </row>
    <row r="82">
      <c r="B82" s="14"/>
    </row>
    <row r="83">
      <c r="B83" s="14"/>
    </row>
    <row r="84">
      <c r="B84" s="14"/>
    </row>
    <row r="85">
      <c r="B85" s="14"/>
    </row>
    <row r="86">
      <c r="B86" s="14"/>
    </row>
    <row r="87">
      <c r="B87" s="14"/>
    </row>
    <row r="88">
      <c r="B88" s="14"/>
    </row>
    <row r="89">
      <c r="B89" s="14"/>
    </row>
    <row r="90">
      <c r="B90" s="14"/>
    </row>
    <row r="91">
      <c r="B91" s="14"/>
    </row>
    <row r="92">
      <c r="B92" s="14"/>
    </row>
    <row r="93">
      <c r="B93" s="14"/>
    </row>
    <row r="94">
      <c r="B94" s="14"/>
    </row>
    <row r="95">
      <c r="B95" s="14"/>
    </row>
    <row r="96">
      <c r="B96" s="14"/>
    </row>
    <row r="97">
      <c r="B97" s="14"/>
    </row>
    <row r="98">
      <c r="B98" s="14"/>
    </row>
    <row r="99">
      <c r="B99" s="14"/>
    </row>
    <row r="100">
      <c r="B100" s="14"/>
    </row>
    <row r="101">
      <c r="B101" s="14"/>
    </row>
    <row r="102">
      <c r="B102" s="14"/>
    </row>
    <row r="103">
      <c r="B103" s="14"/>
    </row>
    <row r="104">
      <c r="B104" s="14"/>
    </row>
    <row r="105">
      <c r="B105" s="14"/>
    </row>
    <row r="106">
      <c r="B106" s="14"/>
    </row>
    <row r="107">
      <c r="B107" s="14"/>
    </row>
    <row r="108">
      <c r="B108" s="14"/>
    </row>
    <row r="109">
      <c r="B109" s="14"/>
    </row>
    <row r="110">
      <c r="B110" s="14"/>
    </row>
    <row r="111">
      <c r="B111" s="14"/>
    </row>
    <row r="112">
      <c r="B112" s="14"/>
    </row>
    <row r="113">
      <c r="B113" s="14"/>
    </row>
    <row r="114">
      <c r="B114" s="14"/>
    </row>
    <row r="115">
      <c r="B115" s="14"/>
    </row>
    <row r="116">
      <c r="B116" s="14"/>
    </row>
    <row r="117">
      <c r="B117" s="14"/>
    </row>
    <row r="118">
      <c r="B118" s="14"/>
    </row>
    <row r="119">
      <c r="B119" s="14"/>
    </row>
    <row r="120">
      <c r="B120" s="14"/>
    </row>
    <row r="121">
      <c r="B121" s="14"/>
    </row>
    <row r="122">
      <c r="B122" s="14"/>
    </row>
    <row r="123">
      <c r="B123" s="14"/>
    </row>
    <row r="124">
      <c r="B124" s="14"/>
    </row>
    <row r="125">
      <c r="B125" s="14"/>
    </row>
    <row r="126">
      <c r="B126" s="14"/>
    </row>
    <row r="127">
      <c r="B127" s="14"/>
    </row>
    <row r="128">
      <c r="B128" s="14"/>
    </row>
    <row r="129">
      <c r="B129" s="14"/>
    </row>
    <row r="130">
      <c r="B130" s="14"/>
    </row>
    <row r="131">
      <c r="B131" s="14"/>
    </row>
    <row r="132">
      <c r="B132" s="14"/>
    </row>
    <row r="133">
      <c r="B133" s="14"/>
    </row>
    <row r="134">
      <c r="B134" s="14"/>
    </row>
    <row r="135">
      <c r="B135" s="14"/>
    </row>
    <row r="136">
      <c r="B136" s="14"/>
    </row>
    <row r="137">
      <c r="B137" s="14"/>
    </row>
    <row r="138">
      <c r="B138" s="14"/>
    </row>
    <row r="139">
      <c r="B139" s="14"/>
    </row>
    <row r="140">
      <c r="B140" s="14"/>
    </row>
    <row r="141">
      <c r="B141" s="14"/>
    </row>
    <row r="142">
      <c r="B142" s="14"/>
    </row>
    <row r="143">
      <c r="B143" s="14"/>
    </row>
    <row r="144">
      <c r="B144" s="14"/>
    </row>
    <row r="145">
      <c r="B145" s="14"/>
    </row>
    <row r="146">
      <c r="B146" s="14"/>
    </row>
    <row r="147">
      <c r="B147" s="14"/>
    </row>
    <row r="148">
      <c r="B148" s="14"/>
    </row>
    <row r="149">
      <c r="B149" s="14"/>
    </row>
    <row r="150">
      <c r="B150" s="14"/>
    </row>
    <row r="151">
      <c r="B151" s="14"/>
    </row>
    <row r="152">
      <c r="B152" s="14"/>
    </row>
    <row r="153">
      <c r="B153" s="14"/>
    </row>
    <row r="154">
      <c r="B154" s="14"/>
    </row>
    <row r="155">
      <c r="B155" s="14"/>
    </row>
    <row r="156">
      <c r="B156" s="14"/>
    </row>
    <row r="157">
      <c r="B157" s="14"/>
    </row>
    <row r="158">
      <c r="B158" s="14"/>
    </row>
    <row r="159">
      <c r="B159" s="14"/>
    </row>
    <row r="160">
      <c r="B160" s="14"/>
    </row>
    <row r="161">
      <c r="B161" s="14"/>
    </row>
    <row r="162">
      <c r="B162" s="14"/>
    </row>
    <row r="163">
      <c r="B163" s="14"/>
    </row>
    <row r="164">
      <c r="B164" s="14"/>
    </row>
    <row r="165">
      <c r="B165" s="14"/>
    </row>
    <row r="166">
      <c r="B166" s="14"/>
    </row>
    <row r="167">
      <c r="B167" s="14"/>
    </row>
    <row r="168">
      <c r="B168" s="14"/>
    </row>
    <row r="169">
      <c r="B169" s="14"/>
    </row>
    <row r="170">
      <c r="B170" s="14"/>
    </row>
    <row r="171">
      <c r="B171" s="14"/>
    </row>
    <row r="172">
      <c r="B172" s="14"/>
    </row>
    <row r="173">
      <c r="B173" s="14"/>
    </row>
    <row r="174">
      <c r="B174" s="14"/>
    </row>
    <row r="175">
      <c r="B175" s="14"/>
    </row>
    <row r="176">
      <c r="B176" s="14"/>
    </row>
    <row r="177">
      <c r="B177" s="14"/>
    </row>
    <row r="178">
      <c r="B178" s="14"/>
    </row>
    <row r="179">
      <c r="B179" s="14"/>
    </row>
    <row r="180">
      <c r="B180" s="14"/>
    </row>
    <row r="181">
      <c r="B181" s="14"/>
    </row>
    <row r="182">
      <c r="B182" s="14"/>
    </row>
    <row r="183">
      <c r="B183" s="14"/>
    </row>
    <row r="184">
      <c r="B184" s="14"/>
    </row>
    <row r="185">
      <c r="B185" s="14"/>
    </row>
    <row r="186">
      <c r="B186" s="14"/>
    </row>
    <row r="187">
      <c r="B187" s="14"/>
    </row>
    <row r="188">
      <c r="B188" s="14"/>
    </row>
    <row r="189">
      <c r="B189" s="14"/>
    </row>
    <row r="190">
      <c r="B190" s="14"/>
    </row>
    <row r="191">
      <c r="B191" s="14"/>
    </row>
    <row r="192">
      <c r="B192" s="14"/>
    </row>
    <row r="193">
      <c r="B193" s="14"/>
    </row>
    <row r="194">
      <c r="B194" s="14"/>
    </row>
    <row r="195">
      <c r="B195" s="14"/>
    </row>
    <row r="196">
      <c r="B196" s="14"/>
    </row>
    <row r="197">
      <c r="B197" s="14"/>
    </row>
    <row r="198">
      <c r="B198" s="14"/>
    </row>
    <row r="199">
      <c r="B199" s="14"/>
    </row>
    <row r="200">
      <c r="B200" s="14"/>
    </row>
    <row r="201">
      <c r="B201" s="14"/>
    </row>
    <row r="202">
      <c r="B202" s="14"/>
    </row>
    <row r="203">
      <c r="B203" s="14"/>
    </row>
    <row r="204">
      <c r="B204" s="14"/>
    </row>
    <row r="205">
      <c r="B205" s="14"/>
    </row>
    <row r="206">
      <c r="B206" s="14"/>
    </row>
    <row r="207">
      <c r="B207" s="14"/>
    </row>
    <row r="208">
      <c r="B208" s="14"/>
    </row>
    <row r="209">
      <c r="B209" s="14"/>
    </row>
    <row r="210">
      <c r="B210" s="14"/>
    </row>
    <row r="211">
      <c r="B211" s="14"/>
    </row>
    <row r="212">
      <c r="B212" s="14"/>
    </row>
    <row r="213">
      <c r="B213" s="14"/>
    </row>
    <row r="214">
      <c r="B214" s="14"/>
    </row>
    <row r="215">
      <c r="B215" s="14"/>
    </row>
    <row r="216">
      <c r="B216" s="14"/>
    </row>
    <row r="217">
      <c r="B217" s="14"/>
    </row>
    <row r="218">
      <c r="B218" s="14"/>
    </row>
    <row r="219">
      <c r="B219" s="14"/>
    </row>
    <row r="220">
      <c r="B220" s="14"/>
    </row>
    <row r="221">
      <c r="B221" s="14"/>
    </row>
    <row r="222">
      <c r="B222" s="14"/>
    </row>
    <row r="223">
      <c r="B223" s="14"/>
    </row>
    <row r="224">
      <c r="B224" s="14"/>
    </row>
    <row r="225">
      <c r="B225" s="14"/>
    </row>
    <row r="226">
      <c r="B226" s="14"/>
    </row>
    <row r="227">
      <c r="B227" s="14"/>
    </row>
    <row r="228">
      <c r="B228" s="14"/>
    </row>
    <row r="229">
      <c r="B229" s="14"/>
    </row>
    <row r="230">
      <c r="B230" s="14"/>
    </row>
    <row r="231">
      <c r="B231" s="14"/>
    </row>
    <row r="232">
      <c r="B232" s="14"/>
    </row>
    <row r="233">
      <c r="B233" s="14"/>
    </row>
    <row r="234">
      <c r="B234" s="14"/>
    </row>
    <row r="235">
      <c r="B235" s="14"/>
    </row>
    <row r="236">
      <c r="B236" s="14"/>
    </row>
    <row r="237">
      <c r="B237" s="14"/>
    </row>
    <row r="238">
      <c r="B238" s="14"/>
    </row>
    <row r="239">
      <c r="B239" s="14"/>
    </row>
    <row r="240">
      <c r="B240" s="14"/>
    </row>
    <row r="241">
      <c r="B241" s="14"/>
    </row>
    <row r="242">
      <c r="B242" s="14"/>
    </row>
    <row r="243">
      <c r="B243" s="14"/>
    </row>
    <row r="244">
      <c r="B244" s="14"/>
    </row>
    <row r="245">
      <c r="B245" s="14"/>
    </row>
    <row r="246">
      <c r="B246" s="14"/>
    </row>
    <row r="247">
      <c r="B247" s="14"/>
    </row>
    <row r="248">
      <c r="B248" s="14"/>
    </row>
    <row r="249">
      <c r="B249" s="14"/>
    </row>
    <row r="250">
      <c r="B250" s="14"/>
    </row>
    <row r="251">
      <c r="B251" s="14"/>
    </row>
    <row r="252">
      <c r="B252" s="14"/>
    </row>
    <row r="253">
      <c r="B253" s="14"/>
    </row>
    <row r="254">
      <c r="B254" s="14"/>
    </row>
    <row r="255">
      <c r="B255" s="14"/>
    </row>
    <row r="256">
      <c r="B256" s="14"/>
    </row>
    <row r="257">
      <c r="B257" s="14"/>
    </row>
    <row r="258">
      <c r="B258" s="14"/>
    </row>
    <row r="259">
      <c r="B259" s="14"/>
    </row>
    <row r="260">
      <c r="B260" s="14"/>
    </row>
    <row r="261">
      <c r="B261" s="14"/>
    </row>
    <row r="262">
      <c r="B262" s="14"/>
    </row>
    <row r="263">
      <c r="B263" s="14"/>
    </row>
    <row r="264">
      <c r="B264" s="14"/>
    </row>
    <row r="265">
      <c r="B265" s="14"/>
    </row>
    <row r="266">
      <c r="B266" s="14"/>
    </row>
    <row r="267">
      <c r="B267" s="14"/>
    </row>
    <row r="268">
      <c r="B268" s="14"/>
    </row>
    <row r="269">
      <c r="B269" s="14"/>
    </row>
    <row r="270">
      <c r="B270" s="14"/>
    </row>
    <row r="271">
      <c r="B271" s="14"/>
    </row>
    <row r="272">
      <c r="B272" s="14"/>
    </row>
    <row r="273">
      <c r="B273" s="14"/>
    </row>
    <row r="274">
      <c r="B274" s="14"/>
    </row>
    <row r="275">
      <c r="B275" s="14"/>
    </row>
    <row r="276">
      <c r="B276" s="14"/>
    </row>
    <row r="277">
      <c r="B277" s="14"/>
    </row>
    <row r="278">
      <c r="B278" s="14"/>
    </row>
    <row r="279">
      <c r="B279" s="14"/>
    </row>
    <row r="280">
      <c r="B280" s="14"/>
    </row>
    <row r="281">
      <c r="B281" s="14"/>
    </row>
    <row r="282">
      <c r="B282" s="14"/>
    </row>
    <row r="283">
      <c r="B283" s="14"/>
    </row>
    <row r="284">
      <c r="B284" s="14"/>
    </row>
    <row r="285">
      <c r="B285" s="14"/>
    </row>
    <row r="286">
      <c r="B286" s="14"/>
    </row>
    <row r="287">
      <c r="B287" s="14"/>
    </row>
    <row r="288">
      <c r="B288" s="14"/>
    </row>
    <row r="289">
      <c r="B289" s="14"/>
    </row>
    <row r="290">
      <c r="B290" s="14"/>
    </row>
    <row r="291">
      <c r="B291" s="14"/>
    </row>
    <row r="292">
      <c r="B292" s="14"/>
    </row>
    <row r="293">
      <c r="B293" s="14"/>
    </row>
    <row r="294">
      <c r="B294" s="14"/>
    </row>
    <row r="295">
      <c r="B295" s="14"/>
    </row>
    <row r="296">
      <c r="B296" s="14"/>
    </row>
    <row r="297">
      <c r="B297" s="14"/>
    </row>
    <row r="298">
      <c r="B298" s="14"/>
    </row>
    <row r="299">
      <c r="B299" s="14"/>
    </row>
    <row r="300">
      <c r="B300" s="14"/>
    </row>
    <row r="301">
      <c r="B301" s="14"/>
    </row>
    <row r="302">
      <c r="B302" s="14"/>
    </row>
    <row r="303">
      <c r="B303" s="14"/>
    </row>
    <row r="304">
      <c r="B304" s="14"/>
    </row>
    <row r="305">
      <c r="B305" s="14"/>
    </row>
    <row r="306">
      <c r="B306" s="14"/>
    </row>
    <row r="307">
      <c r="B307" s="14"/>
    </row>
    <row r="308">
      <c r="B308" s="14"/>
    </row>
    <row r="309">
      <c r="B309" s="14"/>
    </row>
    <row r="310">
      <c r="B310" s="14"/>
    </row>
    <row r="311">
      <c r="B311" s="14"/>
    </row>
    <row r="312">
      <c r="B312" s="14"/>
    </row>
    <row r="313">
      <c r="B313" s="14"/>
    </row>
    <row r="314">
      <c r="B314" s="14"/>
    </row>
    <row r="315">
      <c r="B315" s="14"/>
    </row>
    <row r="316">
      <c r="B316" s="14"/>
    </row>
    <row r="317">
      <c r="B317" s="14"/>
    </row>
    <row r="318">
      <c r="B318" s="14"/>
    </row>
    <row r="319">
      <c r="B319" s="14"/>
    </row>
    <row r="320">
      <c r="B320" s="14"/>
    </row>
    <row r="321">
      <c r="B321" s="14"/>
    </row>
    <row r="322">
      <c r="B322" s="14"/>
    </row>
    <row r="323">
      <c r="B323" s="14"/>
    </row>
    <row r="324">
      <c r="B324" s="14"/>
    </row>
    <row r="325">
      <c r="B325" s="14"/>
    </row>
    <row r="326">
      <c r="B326" s="14"/>
    </row>
    <row r="327">
      <c r="B327" s="14"/>
    </row>
    <row r="328">
      <c r="B328" s="14"/>
    </row>
    <row r="329">
      <c r="B329" s="14"/>
    </row>
    <row r="330">
      <c r="B330" s="14"/>
    </row>
    <row r="331">
      <c r="B331" s="14"/>
    </row>
    <row r="332">
      <c r="B332" s="14"/>
    </row>
    <row r="333">
      <c r="B333" s="14"/>
    </row>
    <row r="334">
      <c r="B334" s="14"/>
    </row>
    <row r="335">
      <c r="B335" s="14"/>
    </row>
    <row r="336">
      <c r="B336" s="14"/>
    </row>
    <row r="337">
      <c r="B337" s="14"/>
    </row>
    <row r="338">
      <c r="B338" s="14"/>
    </row>
    <row r="339">
      <c r="B339" s="14"/>
    </row>
    <row r="340">
      <c r="B340" s="14"/>
    </row>
    <row r="341">
      <c r="B341" s="14"/>
    </row>
    <row r="342">
      <c r="B342" s="14"/>
    </row>
    <row r="343">
      <c r="B343" s="14"/>
    </row>
    <row r="344">
      <c r="B344" s="14"/>
    </row>
    <row r="345">
      <c r="B345" s="14"/>
    </row>
    <row r="346">
      <c r="B346" s="14"/>
    </row>
    <row r="347">
      <c r="B347" s="14"/>
    </row>
    <row r="348">
      <c r="B348" s="14"/>
    </row>
    <row r="349">
      <c r="B349" s="14"/>
    </row>
    <row r="350">
      <c r="B350" s="14"/>
    </row>
    <row r="351">
      <c r="B351" s="14"/>
    </row>
    <row r="352">
      <c r="B352" s="14"/>
    </row>
    <row r="353">
      <c r="B353" s="14"/>
    </row>
    <row r="354">
      <c r="B354" s="14"/>
    </row>
    <row r="355">
      <c r="B355" s="14"/>
    </row>
    <row r="356">
      <c r="B356" s="14"/>
    </row>
    <row r="357">
      <c r="B357" s="14"/>
    </row>
    <row r="358">
      <c r="B358" s="14"/>
    </row>
    <row r="359">
      <c r="B359" s="14"/>
    </row>
    <row r="360">
      <c r="B360" s="14"/>
    </row>
    <row r="361">
      <c r="B361" s="14"/>
    </row>
    <row r="362">
      <c r="B362" s="14"/>
    </row>
    <row r="363">
      <c r="B363" s="14"/>
    </row>
    <row r="364">
      <c r="B364" s="14"/>
    </row>
    <row r="365">
      <c r="B365" s="14"/>
    </row>
    <row r="366">
      <c r="B366" s="14"/>
    </row>
    <row r="367">
      <c r="B367" s="14"/>
    </row>
    <row r="368">
      <c r="B368" s="14"/>
    </row>
    <row r="369">
      <c r="B369" s="14"/>
    </row>
    <row r="370">
      <c r="B370" s="14"/>
    </row>
    <row r="371">
      <c r="B371" s="14"/>
    </row>
    <row r="372">
      <c r="B372" s="14"/>
    </row>
    <row r="373">
      <c r="B373" s="14"/>
    </row>
    <row r="374">
      <c r="B374" s="14"/>
    </row>
    <row r="375">
      <c r="B375" s="14"/>
    </row>
    <row r="376">
      <c r="B376" s="14"/>
    </row>
    <row r="377">
      <c r="B377" s="14"/>
    </row>
    <row r="378">
      <c r="B378" s="14"/>
    </row>
    <row r="379">
      <c r="B379" s="14"/>
    </row>
    <row r="380">
      <c r="B380" s="14"/>
    </row>
    <row r="381">
      <c r="B381" s="14"/>
    </row>
    <row r="382">
      <c r="B382" s="14"/>
    </row>
    <row r="383">
      <c r="B383" s="14"/>
    </row>
    <row r="384">
      <c r="B384" s="14"/>
    </row>
    <row r="385">
      <c r="B385" s="14"/>
    </row>
    <row r="386">
      <c r="B386" s="14"/>
    </row>
    <row r="387">
      <c r="B387" s="14"/>
    </row>
    <row r="388">
      <c r="B388" s="14"/>
    </row>
    <row r="389">
      <c r="B389" s="14"/>
    </row>
    <row r="390">
      <c r="B390" s="14"/>
    </row>
    <row r="391">
      <c r="B391" s="14"/>
    </row>
    <row r="392">
      <c r="B392" s="14"/>
    </row>
    <row r="393">
      <c r="B393" s="14"/>
    </row>
    <row r="394">
      <c r="B394" s="14"/>
    </row>
    <row r="395">
      <c r="B395" s="14"/>
    </row>
    <row r="396">
      <c r="B396" s="14"/>
    </row>
    <row r="397">
      <c r="B397" s="14"/>
    </row>
    <row r="398">
      <c r="B398" s="14"/>
    </row>
    <row r="399">
      <c r="B399" s="14"/>
    </row>
    <row r="400">
      <c r="B400" s="14"/>
    </row>
    <row r="401">
      <c r="B401" s="14"/>
    </row>
    <row r="402">
      <c r="B402" s="14"/>
    </row>
    <row r="403">
      <c r="B403" s="14"/>
    </row>
    <row r="404">
      <c r="B404" s="14"/>
    </row>
    <row r="405">
      <c r="B405" s="14"/>
    </row>
    <row r="406">
      <c r="B406" s="14"/>
    </row>
    <row r="407">
      <c r="B407" s="14"/>
    </row>
    <row r="408">
      <c r="B408" s="14"/>
    </row>
    <row r="409">
      <c r="B409" s="14"/>
    </row>
    <row r="410">
      <c r="B410" s="14"/>
    </row>
    <row r="411">
      <c r="B411" s="14"/>
    </row>
    <row r="412">
      <c r="B412" s="14"/>
    </row>
    <row r="413">
      <c r="B413" s="14"/>
    </row>
    <row r="414">
      <c r="B414" s="14"/>
    </row>
    <row r="415">
      <c r="B415" s="14"/>
    </row>
    <row r="416">
      <c r="B416" s="14"/>
    </row>
    <row r="417">
      <c r="B417" s="14"/>
    </row>
    <row r="418">
      <c r="B418" s="14"/>
    </row>
    <row r="419">
      <c r="B419" s="14"/>
    </row>
    <row r="420">
      <c r="B420" s="14"/>
    </row>
    <row r="421">
      <c r="B421" s="14"/>
    </row>
    <row r="422">
      <c r="B422" s="14"/>
    </row>
    <row r="423">
      <c r="B423" s="14"/>
    </row>
    <row r="424">
      <c r="B424" s="14"/>
    </row>
    <row r="425">
      <c r="B425" s="14"/>
    </row>
    <row r="426">
      <c r="B426" s="14"/>
    </row>
    <row r="427">
      <c r="B427" s="14"/>
    </row>
    <row r="428">
      <c r="B428" s="14"/>
    </row>
    <row r="429">
      <c r="B429" s="14"/>
    </row>
    <row r="430">
      <c r="B430" s="14"/>
    </row>
    <row r="431">
      <c r="B431" s="14"/>
    </row>
    <row r="432">
      <c r="B432" s="14"/>
    </row>
    <row r="433">
      <c r="B433" s="14"/>
    </row>
    <row r="434">
      <c r="B434" s="14"/>
    </row>
    <row r="435">
      <c r="B435" s="14"/>
    </row>
    <row r="436">
      <c r="B436" s="14"/>
    </row>
    <row r="437">
      <c r="B437" s="14"/>
    </row>
    <row r="438">
      <c r="B438" s="14"/>
    </row>
    <row r="439">
      <c r="B439" s="14"/>
    </row>
    <row r="440">
      <c r="B440" s="14"/>
    </row>
    <row r="441">
      <c r="B441" s="14"/>
    </row>
    <row r="442">
      <c r="B442" s="14"/>
    </row>
    <row r="443">
      <c r="B443" s="14"/>
    </row>
    <row r="444">
      <c r="B444" s="14"/>
    </row>
    <row r="445">
      <c r="B445" s="14"/>
    </row>
    <row r="446">
      <c r="B446" s="14"/>
    </row>
    <row r="447">
      <c r="B447" s="14"/>
    </row>
    <row r="448">
      <c r="B448" s="14"/>
    </row>
    <row r="449">
      <c r="B449" s="14"/>
    </row>
    <row r="450">
      <c r="B450" s="14"/>
    </row>
    <row r="451">
      <c r="B451" s="14"/>
    </row>
    <row r="452">
      <c r="B452" s="14"/>
    </row>
    <row r="453">
      <c r="B453" s="14"/>
    </row>
    <row r="454">
      <c r="B454" s="14"/>
    </row>
    <row r="455">
      <c r="B455" s="14"/>
    </row>
    <row r="456">
      <c r="B456" s="14"/>
    </row>
    <row r="457">
      <c r="B457" s="14"/>
    </row>
    <row r="458">
      <c r="B458" s="14"/>
    </row>
    <row r="459">
      <c r="B459" s="14"/>
    </row>
    <row r="460">
      <c r="B460" s="14"/>
    </row>
    <row r="461">
      <c r="B461" s="14"/>
    </row>
    <row r="462">
      <c r="B462" s="14"/>
    </row>
    <row r="463">
      <c r="B463" s="14"/>
    </row>
    <row r="464">
      <c r="B464" s="14"/>
    </row>
    <row r="465">
      <c r="B465" s="14"/>
    </row>
    <row r="466">
      <c r="B466" s="14"/>
    </row>
    <row r="467">
      <c r="B467" s="14"/>
    </row>
    <row r="468">
      <c r="B468" s="14"/>
    </row>
    <row r="469">
      <c r="B469" s="14"/>
    </row>
    <row r="470">
      <c r="B470" s="14"/>
    </row>
    <row r="471">
      <c r="B471" s="14"/>
    </row>
    <row r="472">
      <c r="B472" s="14"/>
    </row>
    <row r="473">
      <c r="B473" s="14"/>
    </row>
    <row r="474">
      <c r="B474" s="14"/>
    </row>
    <row r="475">
      <c r="B475" s="14"/>
    </row>
    <row r="476">
      <c r="B476" s="14"/>
    </row>
    <row r="477">
      <c r="B477" s="14"/>
    </row>
    <row r="478">
      <c r="B478" s="14"/>
    </row>
    <row r="479">
      <c r="B479" s="14"/>
    </row>
    <row r="480">
      <c r="B480" s="14"/>
    </row>
    <row r="481">
      <c r="B481" s="14"/>
    </row>
    <row r="482">
      <c r="B482" s="14"/>
    </row>
    <row r="483">
      <c r="B483" s="14"/>
    </row>
    <row r="484">
      <c r="B484" s="14"/>
    </row>
    <row r="485">
      <c r="B485" s="14"/>
    </row>
    <row r="486">
      <c r="B486" s="14"/>
    </row>
    <row r="487">
      <c r="B487" s="14"/>
    </row>
    <row r="488">
      <c r="B488" s="14"/>
    </row>
    <row r="489">
      <c r="B489" s="14"/>
    </row>
    <row r="490">
      <c r="B490" s="14"/>
    </row>
    <row r="491">
      <c r="B491" s="14"/>
    </row>
    <row r="492">
      <c r="B492" s="14"/>
    </row>
    <row r="493">
      <c r="B493" s="14"/>
    </row>
    <row r="494">
      <c r="B494" s="14"/>
    </row>
    <row r="495">
      <c r="B495" s="14"/>
    </row>
    <row r="496">
      <c r="B496" s="14"/>
    </row>
    <row r="497">
      <c r="B497" s="14"/>
    </row>
    <row r="498">
      <c r="B498" s="14"/>
    </row>
    <row r="499">
      <c r="B499" s="14"/>
    </row>
    <row r="500">
      <c r="B500" s="14"/>
    </row>
    <row r="501">
      <c r="B501" s="14"/>
    </row>
    <row r="502">
      <c r="B502" s="14"/>
    </row>
    <row r="503">
      <c r="B503" s="14"/>
    </row>
    <row r="504">
      <c r="B504" s="14"/>
    </row>
    <row r="505">
      <c r="B505" s="14"/>
    </row>
    <row r="506">
      <c r="B506" s="14"/>
    </row>
    <row r="507">
      <c r="B507" s="14"/>
    </row>
    <row r="508">
      <c r="B508" s="14"/>
    </row>
    <row r="509">
      <c r="B509" s="14"/>
    </row>
    <row r="510">
      <c r="B510" s="14"/>
    </row>
    <row r="511">
      <c r="B511" s="14"/>
    </row>
    <row r="512">
      <c r="B512" s="14"/>
    </row>
    <row r="513">
      <c r="B513" s="14"/>
    </row>
    <row r="514">
      <c r="B514" s="14"/>
    </row>
    <row r="515">
      <c r="B515" s="14"/>
    </row>
    <row r="516">
      <c r="B516" s="14"/>
    </row>
    <row r="517">
      <c r="B517" s="14"/>
    </row>
    <row r="518">
      <c r="B518" s="14"/>
    </row>
    <row r="519">
      <c r="B519" s="14"/>
    </row>
    <row r="520">
      <c r="B520" s="14"/>
    </row>
    <row r="521">
      <c r="B521" s="14"/>
    </row>
    <row r="522">
      <c r="B522" s="14"/>
    </row>
    <row r="523">
      <c r="B523" s="14"/>
    </row>
    <row r="524">
      <c r="B524" s="14"/>
    </row>
    <row r="525">
      <c r="B525" s="14"/>
    </row>
    <row r="526">
      <c r="B526" s="14"/>
    </row>
    <row r="527">
      <c r="B527" s="14"/>
    </row>
    <row r="528">
      <c r="B528" s="14"/>
    </row>
    <row r="529">
      <c r="B529" s="14"/>
    </row>
    <row r="530">
      <c r="B530" s="14"/>
    </row>
    <row r="531">
      <c r="B531" s="14"/>
    </row>
    <row r="532">
      <c r="B532" s="14"/>
    </row>
    <row r="533">
      <c r="B533" s="14"/>
    </row>
    <row r="534">
      <c r="B534" s="14"/>
    </row>
    <row r="535">
      <c r="B535" s="14"/>
    </row>
    <row r="536">
      <c r="B536" s="14"/>
    </row>
    <row r="537">
      <c r="B537" s="14"/>
    </row>
    <row r="538">
      <c r="B538" s="14"/>
    </row>
    <row r="539">
      <c r="B539" s="14"/>
    </row>
    <row r="540">
      <c r="B540" s="14"/>
    </row>
    <row r="541">
      <c r="B541" s="14"/>
    </row>
    <row r="542">
      <c r="B542" s="14"/>
    </row>
    <row r="543">
      <c r="B543" s="14"/>
    </row>
    <row r="544">
      <c r="B544" s="14"/>
    </row>
    <row r="545">
      <c r="B545" s="14"/>
    </row>
    <row r="546">
      <c r="B546" s="14"/>
    </row>
    <row r="547">
      <c r="B547" s="14"/>
    </row>
    <row r="548">
      <c r="B548" s="14"/>
    </row>
    <row r="549">
      <c r="B549" s="14"/>
    </row>
    <row r="550">
      <c r="B550" s="14"/>
    </row>
    <row r="551">
      <c r="B551" s="14"/>
    </row>
    <row r="552">
      <c r="B552" s="14"/>
    </row>
    <row r="553">
      <c r="B553" s="14"/>
    </row>
    <row r="554">
      <c r="B554" s="14"/>
    </row>
    <row r="555">
      <c r="B555" s="14"/>
    </row>
    <row r="556">
      <c r="B556" s="14"/>
    </row>
    <row r="557">
      <c r="B557" s="14"/>
    </row>
    <row r="558">
      <c r="B558" s="14"/>
    </row>
    <row r="559">
      <c r="B559" s="14"/>
    </row>
    <row r="560">
      <c r="B560" s="14"/>
    </row>
    <row r="561">
      <c r="B561" s="14"/>
    </row>
    <row r="562">
      <c r="B562" s="14"/>
    </row>
    <row r="563">
      <c r="B563" s="14"/>
    </row>
    <row r="564">
      <c r="B564" s="14"/>
    </row>
    <row r="565">
      <c r="B565" s="14"/>
    </row>
    <row r="566">
      <c r="B566" s="14"/>
    </row>
    <row r="567">
      <c r="B567" s="14"/>
    </row>
    <row r="568">
      <c r="B568" s="14"/>
    </row>
    <row r="569">
      <c r="B569" s="14"/>
    </row>
    <row r="570">
      <c r="B570" s="14"/>
    </row>
    <row r="571">
      <c r="B571" s="14"/>
    </row>
    <row r="572">
      <c r="B572" s="14"/>
    </row>
    <row r="573">
      <c r="B573" s="14"/>
    </row>
    <row r="574">
      <c r="B574" s="14"/>
    </row>
    <row r="575">
      <c r="B575" s="14"/>
    </row>
    <row r="576">
      <c r="B576" s="14"/>
    </row>
    <row r="577">
      <c r="B577" s="14"/>
    </row>
    <row r="578">
      <c r="B578" s="14"/>
    </row>
    <row r="579">
      <c r="B579" s="14"/>
    </row>
    <row r="580">
      <c r="B580" s="14"/>
    </row>
    <row r="581">
      <c r="B581" s="14"/>
    </row>
    <row r="582">
      <c r="B582" s="14"/>
    </row>
    <row r="583">
      <c r="B583" s="14"/>
    </row>
    <row r="584">
      <c r="B584" s="14"/>
    </row>
    <row r="585">
      <c r="B585" s="14"/>
    </row>
    <row r="586">
      <c r="B586" s="14"/>
    </row>
    <row r="587">
      <c r="B587" s="14"/>
    </row>
    <row r="588">
      <c r="B588" s="14"/>
    </row>
    <row r="589">
      <c r="B589" s="14"/>
    </row>
    <row r="590">
      <c r="B590" s="14"/>
    </row>
    <row r="591">
      <c r="B591" s="14"/>
    </row>
    <row r="592">
      <c r="B592" s="14"/>
    </row>
    <row r="593">
      <c r="B593" s="14"/>
    </row>
    <row r="594">
      <c r="B594" s="14"/>
    </row>
    <row r="595">
      <c r="B595" s="14"/>
    </row>
    <row r="596">
      <c r="B596" s="14"/>
    </row>
    <row r="597">
      <c r="B597" s="14"/>
    </row>
    <row r="598">
      <c r="B598" s="14"/>
    </row>
    <row r="599">
      <c r="B599" s="14"/>
    </row>
    <row r="600">
      <c r="B600" s="14"/>
    </row>
    <row r="601">
      <c r="B601" s="14"/>
    </row>
    <row r="602">
      <c r="B602" s="14"/>
    </row>
    <row r="603">
      <c r="B603" s="14"/>
    </row>
    <row r="604">
      <c r="B604" s="14"/>
    </row>
    <row r="605">
      <c r="B605" s="14"/>
    </row>
    <row r="606">
      <c r="B606" s="14"/>
    </row>
    <row r="607">
      <c r="B607" s="14"/>
    </row>
    <row r="608">
      <c r="B608" s="14"/>
    </row>
    <row r="609">
      <c r="B609" s="14"/>
    </row>
    <row r="610">
      <c r="B610" s="14"/>
    </row>
    <row r="611">
      <c r="B611" s="14"/>
    </row>
    <row r="612">
      <c r="B612" s="14"/>
    </row>
    <row r="613">
      <c r="B613" s="14"/>
    </row>
    <row r="614">
      <c r="B614" s="14"/>
    </row>
    <row r="615">
      <c r="B615" s="14"/>
    </row>
    <row r="616">
      <c r="B616" s="14"/>
    </row>
    <row r="617">
      <c r="B617" s="14"/>
    </row>
    <row r="618">
      <c r="B618" s="14"/>
    </row>
    <row r="619">
      <c r="B619" s="14"/>
    </row>
    <row r="620">
      <c r="B620" s="14"/>
    </row>
    <row r="621">
      <c r="B621" s="14"/>
    </row>
    <row r="622">
      <c r="B622" s="14"/>
    </row>
    <row r="623">
      <c r="B623" s="14"/>
    </row>
    <row r="624">
      <c r="B624" s="14"/>
    </row>
    <row r="625">
      <c r="B625" s="14"/>
    </row>
    <row r="626">
      <c r="B626" s="14"/>
    </row>
    <row r="627">
      <c r="B627" s="14"/>
    </row>
    <row r="628">
      <c r="B628" s="14"/>
    </row>
    <row r="629">
      <c r="B629" s="14"/>
    </row>
    <row r="630">
      <c r="B630" s="14"/>
    </row>
    <row r="631">
      <c r="B631" s="14"/>
    </row>
    <row r="632">
      <c r="B632" s="14"/>
    </row>
    <row r="633">
      <c r="B633" s="14"/>
    </row>
    <row r="634">
      <c r="B634" s="14"/>
    </row>
    <row r="635">
      <c r="B635" s="14"/>
    </row>
    <row r="636">
      <c r="B636" s="14"/>
    </row>
    <row r="637">
      <c r="B637" s="14"/>
    </row>
    <row r="638">
      <c r="B638" s="14"/>
    </row>
    <row r="639">
      <c r="B639" s="14"/>
    </row>
    <row r="640">
      <c r="B640" s="14"/>
    </row>
    <row r="641">
      <c r="B641" s="14"/>
    </row>
    <row r="642">
      <c r="B642" s="14"/>
    </row>
    <row r="643">
      <c r="B643" s="14"/>
    </row>
    <row r="644">
      <c r="B644" s="14"/>
    </row>
    <row r="645">
      <c r="B645" s="14"/>
    </row>
    <row r="646">
      <c r="B646" s="14"/>
    </row>
    <row r="647">
      <c r="B647" s="14"/>
    </row>
    <row r="648">
      <c r="B648" s="14"/>
    </row>
    <row r="649">
      <c r="B649" s="14"/>
    </row>
    <row r="650">
      <c r="B650" s="14"/>
    </row>
    <row r="651">
      <c r="B651" s="14"/>
    </row>
    <row r="652">
      <c r="B652" s="14"/>
    </row>
    <row r="653">
      <c r="B653" s="14"/>
    </row>
    <row r="654">
      <c r="B654" s="14"/>
    </row>
    <row r="655">
      <c r="B655" s="14"/>
    </row>
    <row r="656">
      <c r="B656" s="14"/>
    </row>
    <row r="657">
      <c r="B657" s="14"/>
    </row>
    <row r="658">
      <c r="B658" s="14"/>
    </row>
    <row r="659">
      <c r="B659" s="14"/>
    </row>
    <row r="660">
      <c r="B660" s="14"/>
    </row>
    <row r="661">
      <c r="B661" s="14"/>
    </row>
    <row r="662">
      <c r="B662" s="14"/>
    </row>
    <row r="663">
      <c r="B663" s="14"/>
    </row>
    <row r="664">
      <c r="B664" s="14"/>
    </row>
    <row r="665">
      <c r="B665" s="14"/>
    </row>
    <row r="666">
      <c r="B666" s="14"/>
    </row>
    <row r="667">
      <c r="B667" s="14"/>
    </row>
    <row r="668">
      <c r="B668" s="14"/>
    </row>
    <row r="669">
      <c r="B669" s="14"/>
    </row>
    <row r="670">
      <c r="B670" s="14"/>
    </row>
    <row r="671">
      <c r="B671" s="14"/>
    </row>
    <row r="672">
      <c r="B672" s="14"/>
    </row>
    <row r="673">
      <c r="B673" s="14"/>
    </row>
    <row r="674">
      <c r="B674" s="14"/>
    </row>
    <row r="675">
      <c r="B675" s="14"/>
    </row>
    <row r="676">
      <c r="B676" s="14"/>
    </row>
    <row r="677">
      <c r="B677" s="14"/>
    </row>
    <row r="678">
      <c r="B678" s="14"/>
    </row>
    <row r="679">
      <c r="B679" s="14"/>
    </row>
    <row r="680">
      <c r="B680" s="14"/>
    </row>
    <row r="681">
      <c r="B681" s="14"/>
    </row>
    <row r="682">
      <c r="B682" s="14"/>
    </row>
    <row r="683">
      <c r="B683" s="14"/>
    </row>
    <row r="684">
      <c r="B684" s="14"/>
    </row>
    <row r="685">
      <c r="B685" s="14"/>
    </row>
    <row r="686">
      <c r="B686" s="14"/>
    </row>
    <row r="687">
      <c r="B687" s="14"/>
    </row>
    <row r="688">
      <c r="B688" s="14"/>
    </row>
    <row r="689">
      <c r="B689" s="14"/>
    </row>
    <row r="690">
      <c r="B690" s="14"/>
    </row>
    <row r="691">
      <c r="B691" s="14"/>
    </row>
    <row r="692">
      <c r="B692" s="14"/>
    </row>
    <row r="693">
      <c r="B693" s="14"/>
    </row>
    <row r="694">
      <c r="B694" s="14"/>
    </row>
    <row r="695">
      <c r="B695" s="14"/>
    </row>
    <row r="696">
      <c r="B696" s="14"/>
    </row>
    <row r="697">
      <c r="B697" s="14"/>
    </row>
    <row r="698">
      <c r="B698" s="14"/>
    </row>
    <row r="699">
      <c r="B699" s="14"/>
    </row>
    <row r="700">
      <c r="B700" s="14"/>
    </row>
    <row r="701">
      <c r="B701" s="14"/>
    </row>
    <row r="702">
      <c r="B702" s="14"/>
    </row>
    <row r="703">
      <c r="B703" s="14"/>
    </row>
    <row r="704">
      <c r="B704" s="14"/>
    </row>
    <row r="705">
      <c r="B705" s="14"/>
    </row>
    <row r="706">
      <c r="B706" s="14"/>
    </row>
    <row r="707">
      <c r="B707" s="14"/>
    </row>
    <row r="708">
      <c r="B708" s="14"/>
    </row>
    <row r="709">
      <c r="B709" s="14"/>
    </row>
    <row r="710">
      <c r="B710" s="14"/>
    </row>
    <row r="711">
      <c r="B711" s="14"/>
    </row>
    <row r="712">
      <c r="B712" s="14"/>
    </row>
    <row r="713">
      <c r="B713" s="14"/>
    </row>
    <row r="714">
      <c r="B714" s="14"/>
    </row>
    <row r="715">
      <c r="B715" s="14"/>
    </row>
    <row r="716">
      <c r="B716" s="14"/>
    </row>
    <row r="717">
      <c r="B717" s="14"/>
    </row>
    <row r="718">
      <c r="B718" s="14"/>
    </row>
    <row r="719">
      <c r="B719" s="14"/>
    </row>
    <row r="720">
      <c r="B720" s="14"/>
    </row>
    <row r="721">
      <c r="B721" s="14"/>
    </row>
    <row r="722">
      <c r="B722" s="14"/>
    </row>
    <row r="723">
      <c r="B723" s="14"/>
    </row>
    <row r="724">
      <c r="B724" s="14"/>
    </row>
    <row r="725">
      <c r="B725" s="14"/>
    </row>
    <row r="726">
      <c r="B726" s="14"/>
    </row>
    <row r="727">
      <c r="B727" s="14"/>
    </row>
    <row r="728">
      <c r="B728" s="14"/>
    </row>
    <row r="729">
      <c r="B729" s="14"/>
    </row>
    <row r="730">
      <c r="B730" s="14"/>
    </row>
    <row r="731">
      <c r="B731" s="14"/>
    </row>
    <row r="732">
      <c r="B732" s="14"/>
    </row>
    <row r="733">
      <c r="B733" s="14"/>
    </row>
    <row r="734">
      <c r="B734" s="14"/>
    </row>
    <row r="735">
      <c r="B735" s="14"/>
    </row>
    <row r="736">
      <c r="B736" s="14"/>
    </row>
    <row r="737">
      <c r="B737" s="14"/>
    </row>
    <row r="738">
      <c r="B738" s="14"/>
    </row>
    <row r="739">
      <c r="B739" s="14"/>
    </row>
    <row r="740">
      <c r="B740" s="14"/>
    </row>
    <row r="741">
      <c r="B741" s="14"/>
    </row>
    <row r="742">
      <c r="B742" s="14"/>
    </row>
    <row r="743">
      <c r="B743" s="14"/>
    </row>
    <row r="744">
      <c r="B744" s="14"/>
    </row>
    <row r="745">
      <c r="B745" s="14"/>
    </row>
    <row r="746">
      <c r="B746" s="14"/>
    </row>
    <row r="747">
      <c r="B747" s="14"/>
    </row>
    <row r="748">
      <c r="B748" s="14"/>
    </row>
    <row r="749">
      <c r="B749" s="14"/>
    </row>
    <row r="750">
      <c r="B750" s="14"/>
    </row>
    <row r="751">
      <c r="B751" s="14"/>
    </row>
    <row r="752">
      <c r="B752" s="14"/>
    </row>
    <row r="753">
      <c r="B753" s="14"/>
    </row>
    <row r="754">
      <c r="B754" s="14"/>
    </row>
    <row r="755">
      <c r="B755" s="14"/>
    </row>
    <row r="756">
      <c r="B756" s="14"/>
    </row>
    <row r="757">
      <c r="B757" s="14"/>
    </row>
    <row r="758">
      <c r="B758" s="14"/>
    </row>
    <row r="759">
      <c r="B759" s="14"/>
    </row>
    <row r="760">
      <c r="B760" s="14"/>
    </row>
    <row r="761">
      <c r="B761" s="14"/>
    </row>
    <row r="762">
      <c r="B762" s="14"/>
    </row>
    <row r="763">
      <c r="B763" s="14"/>
    </row>
    <row r="764">
      <c r="B764" s="14"/>
    </row>
    <row r="765">
      <c r="B765" s="14"/>
    </row>
    <row r="766">
      <c r="B766" s="14"/>
    </row>
    <row r="767">
      <c r="B767" s="14"/>
    </row>
    <row r="768">
      <c r="B768" s="14"/>
    </row>
    <row r="769">
      <c r="B769" s="14"/>
    </row>
    <row r="770">
      <c r="B770" s="14"/>
    </row>
    <row r="771">
      <c r="B771" s="14"/>
    </row>
    <row r="772">
      <c r="B772" s="14"/>
    </row>
    <row r="773">
      <c r="B773" s="14"/>
    </row>
    <row r="774">
      <c r="B774" s="14"/>
    </row>
    <row r="775">
      <c r="B775" s="14"/>
    </row>
    <row r="776">
      <c r="B776" s="14"/>
    </row>
    <row r="777">
      <c r="B777" s="14"/>
    </row>
    <row r="778">
      <c r="B778" s="14"/>
    </row>
    <row r="779">
      <c r="B779" s="14"/>
    </row>
    <row r="780">
      <c r="B780" s="14"/>
    </row>
    <row r="781">
      <c r="B781" s="14"/>
    </row>
    <row r="782">
      <c r="B782" s="14"/>
    </row>
    <row r="783">
      <c r="B783" s="14"/>
    </row>
    <row r="784">
      <c r="B784" s="14"/>
    </row>
    <row r="785">
      <c r="B785" s="14"/>
    </row>
    <row r="786">
      <c r="B786" s="14"/>
    </row>
    <row r="787">
      <c r="B787" s="14"/>
    </row>
    <row r="788">
      <c r="B788" s="14"/>
    </row>
    <row r="789">
      <c r="B789" s="14"/>
    </row>
    <row r="790">
      <c r="B790" s="14"/>
    </row>
    <row r="791">
      <c r="B791" s="14"/>
    </row>
    <row r="792">
      <c r="B792" s="14"/>
    </row>
    <row r="793">
      <c r="B793" s="14"/>
    </row>
    <row r="794">
      <c r="B794" s="14"/>
    </row>
    <row r="795">
      <c r="B795" s="14"/>
    </row>
    <row r="796">
      <c r="B796" s="14"/>
    </row>
    <row r="797">
      <c r="B797" s="14"/>
    </row>
    <row r="798">
      <c r="B798" s="14"/>
    </row>
    <row r="799">
      <c r="B799" s="14"/>
    </row>
    <row r="800">
      <c r="B800" s="14"/>
    </row>
    <row r="801">
      <c r="B801" s="14"/>
    </row>
    <row r="802">
      <c r="B802" s="14"/>
    </row>
    <row r="803">
      <c r="B803" s="14"/>
    </row>
    <row r="804">
      <c r="B804" s="14"/>
    </row>
    <row r="805">
      <c r="B805" s="14"/>
    </row>
    <row r="806">
      <c r="B806" s="14"/>
    </row>
    <row r="807">
      <c r="B807" s="14"/>
    </row>
    <row r="808">
      <c r="B808" s="14"/>
    </row>
    <row r="809">
      <c r="B809" s="14"/>
    </row>
    <row r="810">
      <c r="B810" s="14"/>
    </row>
    <row r="811">
      <c r="B811" s="14"/>
    </row>
    <row r="812">
      <c r="B812" s="14"/>
    </row>
    <row r="813">
      <c r="B813" s="14"/>
    </row>
    <row r="814">
      <c r="B814" s="14"/>
    </row>
    <row r="815">
      <c r="B815" s="14"/>
    </row>
    <row r="816">
      <c r="B816" s="14"/>
    </row>
    <row r="817">
      <c r="B817" s="14"/>
    </row>
    <row r="818">
      <c r="B818" s="14"/>
    </row>
    <row r="819">
      <c r="B819" s="14"/>
    </row>
    <row r="820">
      <c r="B820" s="14"/>
    </row>
    <row r="821">
      <c r="B821" s="14"/>
    </row>
    <row r="822">
      <c r="B822" s="14"/>
    </row>
    <row r="823">
      <c r="B823" s="14"/>
    </row>
    <row r="824">
      <c r="B824" s="14"/>
    </row>
    <row r="825">
      <c r="B825" s="14"/>
    </row>
    <row r="826">
      <c r="B826" s="14"/>
    </row>
    <row r="827">
      <c r="B827" s="14"/>
    </row>
    <row r="828">
      <c r="B828" s="14"/>
    </row>
    <row r="829">
      <c r="B829" s="14"/>
    </row>
    <row r="830">
      <c r="B830" s="14"/>
    </row>
    <row r="831">
      <c r="B831" s="14"/>
    </row>
    <row r="832">
      <c r="B832" s="14"/>
    </row>
    <row r="833">
      <c r="B833" s="14"/>
    </row>
    <row r="834">
      <c r="B834" s="14"/>
    </row>
    <row r="835">
      <c r="B835" s="14"/>
    </row>
    <row r="836">
      <c r="B836" s="14"/>
    </row>
    <row r="837">
      <c r="B837" s="14"/>
    </row>
    <row r="838">
      <c r="B838" s="14"/>
    </row>
    <row r="839">
      <c r="B839" s="14"/>
    </row>
    <row r="840">
      <c r="B840" s="14"/>
    </row>
    <row r="841">
      <c r="B841" s="14"/>
    </row>
    <row r="842">
      <c r="B842" s="14"/>
    </row>
    <row r="843">
      <c r="B843" s="14"/>
    </row>
    <row r="844">
      <c r="B844" s="14"/>
    </row>
    <row r="845">
      <c r="B845" s="14"/>
    </row>
    <row r="846">
      <c r="B846" s="14"/>
    </row>
    <row r="847">
      <c r="B847" s="14"/>
    </row>
    <row r="848">
      <c r="B848" s="14"/>
    </row>
    <row r="849">
      <c r="B849" s="14"/>
    </row>
    <row r="850">
      <c r="B850" s="14"/>
    </row>
    <row r="851">
      <c r="B851" s="14"/>
    </row>
    <row r="852">
      <c r="B852" s="14"/>
    </row>
    <row r="853">
      <c r="B853" s="14"/>
    </row>
    <row r="854">
      <c r="B854" s="14"/>
    </row>
    <row r="855">
      <c r="B855" s="14"/>
    </row>
    <row r="856">
      <c r="B856" s="14"/>
    </row>
    <row r="857">
      <c r="B857" s="14"/>
    </row>
    <row r="858">
      <c r="B858" s="14"/>
    </row>
    <row r="859">
      <c r="B859" s="14"/>
    </row>
    <row r="860">
      <c r="B860" s="14"/>
    </row>
    <row r="861">
      <c r="B861" s="14"/>
    </row>
    <row r="862">
      <c r="B862" s="14"/>
    </row>
    <row r="863">
      <c r="B863" s="14"/>
    </row>
    <row r="864">
      <c r="B864" s="14"/>
    </row>
    <row r="865">
      <c r="B865" s="14"/>
    </row>
    <row r="866">
      <c r="B866" s="14"/>
    </row>
    <row r="867">
      <c r="B867" s="14"/>
    </row>
    <row r="868">
      <c r="B868" s="14"/>
    </row>
    <row r="869">
      <c r="B869" s="14"/>
    </row>
    <row r="870">
      <c r="B870" s="14"/>
    </row>
    <row r="871">
      <c r="B871" s="14"/>
    </row>
    <row r="872">
      <c r="B872" s="14"/>
    </row>
    <row r="873">
      <c r="B873" s="14"/>
    </row>
    <row r="874">
      <c r="B874" s="14"/>
    </row>
    <row r="875">
      <c r="B875" s="14"/>
    </row>
    <row r="876">
      <c r="B876" s="14"/>
    </row>
    <row r="877">
      <c r="B877" s="14"/>
    </row>
    <row r="878">
      <c r="B878" s="14"/>
    </row>
    <row r="879">
      <c r="B879" s="14"/>
    </row>
    <row r="880">
      <c r="B880" s="14"/>
    </row>
    <row r="881">
      <c r="B881" s="14"/>
    </row>
    <row r="882">
      <c r="B882" s="14"/>
    </row>
    <row r="883">
      <c r="B883" s="14"/>
    </row>
    <row r="884">
      <c r="B884" s="14"/>
    </row>
    <row r="885">
      <c r="B885" s="14"/>
    </row>
    <row r="886">
      <c r="B886" s="14"/>
    </row>
    <row r="887">
      <c r="B887" s="14"/>
    </row>
    <row r="888">
      <c r="B888" s="14"/>
    </row>
    <row r="889">
      <c r="B889" s="14"/>
    </row>
    <row r="890">
      <c r="B890" s="14"/>
    </row>
    <row r="891">
      <c r="B891" s="14"/>
    </row>
    <row r="892">
      <c r="B892" s="14"/>
    </row>
    <row r="893">
      <c r="B893" s="14"/>
    </row>
    <row r="894">
      <c r="B894" s="14"/>
    </row>
    <row r="895">
      <c r="B895" s="14"/>
    </row>
    <row r="896">
      <c r="B896" s="14"/>
    </row>
    <row r="897">
      <c r="B897" s="14"/>
    </row>
    <row r="898">
      <c r="B898" s="14"/>
    </row>
    <row r="899">
      <c r="B899" s="14"/>
    </row>
    <row r="900">
      <c r="B900" s="14"/>
    </row>
    <row r="901">
      <c r="B901" s="14"/>
    </row>
    <row r="902">
      <c r="B902" s="14"/>
    </row>
    <row r="903">
      <c r="B903" s="14"/>
    </row>
    <row r="904">
      <c r="B904" s="14"/>
    </row>
    <row r="905">
      <c r="B905" s="14"/>
    </row>
    <row r="906">
      <c r="B906" s="14"/>
    </row>
    <row r="907">
      <c r="B907" s="14"/>
    </row>
    <row r="908">
      <c r="B908" s="14"/>
    </row>
    <row r="909">
      <c r="B909" s="14"/>
    </row>
    <row r="910">
      <c r="B910" s="14"/>
    </row>
    <row r="911">
      <c r="B911" s="14"/>
    </row>
    <row r="912">
      <c r="B912" s="14"/>
    </row>
    <row r="913">
      <c r="B913" s="14"/>
    </row>
    <row r="914">
      <c r="B914" s="14"/>
    </row>
    <row r="915">
      <c r="B915" s="14"/>
    </row>
    <row r="916">
      <c r="B916" s="14"/>
    </row>
    <row r="917">
      <c r="B917" s="14"/>
    </row>
    <row r="918">
      <c r="B918" s="14"/>
    </row>
    <row r="919">
      <c r="B919" s="14"/>
    </row>
    <row r="920">
      <c r="B920" s="14"/>
    </row>
    <row r="921">
      <c r="B921" s="14"/>
    </row>
    <row r="922">
      <c r="B922" s="14"/>
    </row>
    <row r="923">
      <c r="B923" s="14"/>
    </row>
    <row r="924">
      <c r="B924" s="14"/>
    </row>
    <row r="925">
      <c r="B925" s="14"/>
    </row>
    <row r="926">
      <c r="B926" s="14"/>
    </row>
    <row r="927">
      <c r="B927" s="14"/>
    </row>
    <row r="928">
      <c r="B928" s="14"/>
    </row>
    <row r="929">
      <c r="B929" s="14"/>
    </row>
    <row r="930">
      <c r="B930" s="14"/>
    </row>
    <row r="931">
      <c r="B931" s="14"/>
    </row>
    <row r="932">
      <c r="B932" s="14"/>
    </row>
    <row r="933">
      <c r="B933" s="14"/>
    </row>
    <row r="934">
      <c r="B934" s="14"/>
    </row>
    <row r="935">
      <c r="B935" s="14"/>
    </row>
    <row r="936">
      <c r="B936" s="14"/>
    </row>
    <row r="937">
      <c r="B937" s="14"/>
    </row>
    <row r="938">
      <c r="B938" s="14"/>
    </row>
    <row r="939">
      <c r="B939" s="14"/>
    </row>
    <row r="940">
      <c r="B940" s="14"/>
    </row>
    <row r="941">
      <c r="B941" s="14"/>
    </row>
    <row r="942">
      <c r="B942" s="14"/>
    </row>
    <row r="943">
      <c r="B943" s="14"/>
    </row>
    <row r="944">
      <c r="B944" s="14"/>
    </row>
    <row r="945">
      <c r="B945" s="14"/>
    </row>
    <row r="946">
      <c r="B946" s="14"/>
    </row>
    <row r="947">
      <c r="B947" s="14"/>
    </row>
    <row r="948">
      <c r="B948" s="14"/>
    </row>
    <row r="949">
      <c r="B949" s="14"/>
    </row>
    <row r="950">
      <c r="B950" s="14"/>
    </row>
    <row r="951">
      <c r="B951" s="14"/>
    </row>
    <row r="952">
      <c r="B952" s="14"/>
    </row>
    <row r="953">
      <c r="B953" s="14"/>
    </row>
    <row r="954">
      <c r="B954" s="14"/>
    </row>
    <row r="955">
      <c r="B955" s="14"/>
    </row>
    <row r="956">
      <c r="B956" s="14"/>
    </row>
    <row r="957">
      <c r="B957" s="14"/>
    </row>
    <row r="958">
      <c r="B958" s="14"/>
    </row>
    <row r="959">
      <c r="B959" s="14"/>
    </row>
    <row r="960">
      <c r="B960" s="14"/>
    </row>
    <row r="961">
      <c r="B961" s="14"/>
    </row>
    <row r="962">
      <c r="B962" s="14"/>
    </row>
    <row r="963">
      <c r="B963" s="14"/>
    </row>
    <row r="964">
      <c r="B964" s="14"/>
    </row>
    <row r="965">
      <c r="B965" s="14"/>
    </row>
    <row r="966">
      <c r="B966" s="14"/>
    </row>
    <row r="967">
      <c r="B967" s="14"/>
    </row>
    <row r="968">
      <c r="B968" s="14"/>
    </row>
    <row r="969">
      <c r="B969" s="14"/>
    </row>
    <row r="970">
      <c r="B970" s="14"/>
    </row>
    <row r="971">
      <c r="B971" s="14"/>
    </row>
    <row r="972">
      <c r="B972" s="14"/>
    </row>
    <row r="973">
      <c r="B973" s="14"/>
    </row>
    <row r="974">
      <c r="B974" s="14"/>
    </row>
    <row r="975">
      <c r="B975" s="14"/>
    </row>
    <row r="976">
      <c r="B976" s="14"/>
    </row>
    <row r="977">
      <c r="B977" s="14"/>
    </row>
    <row r="978">
      <c r="B978" s="14"/>
    </row>
    <row r="979">
      <c r="B979" s="14"/>
    </row>
    <row r="980">
      <c r="B980" s="14"/>
    </row>
    <row r="981">
      <c r="B981" s="14"/>
    </row>
    <row r="982">
      <c r="B982" s="14"/>
    </row>
    <row r="983">
      <c r="B983" s="14"/>
    </row>
    <row r="984">
      <c r="B984" s="14"/>
    </row>
    <row r="985">
      <c r="B985" s="14"/>
    </row>
    <row r="986">
      <c r="B986" s="14"/>
    </row>
    <row r="987">
      <c r="B987" s="14"/>
    </row>
    <row r="988">
      <c r="B988" s="14"/>
    </row>
    <row r="989">
      <c r="B989" s="14"/>
    </row>
    <row r="990">
      <c r="B990" s="14"/>
    </row>
    <row r="991">
      <c r="B991" s="14"/>
    </row>
    <row r="992">
      <c r="B992" s="14"/>
    </row>
    <row r="993">
      <c r="B993" s="14"/>
    </row>
    <row r="994">
      <c r="B994" s="14"/>
    </row>
    <row r="995">
      <c r="B995" s="14"/>
    </row>
    <row r="996">
      <c r="B996" s="14"/>
    </row>
    <row r="997">
      <c r="B997" s="14"/>
    </row>
    <row r="998">
      <c r="B998" s="14"/>
    </row>
    <row r="999">
      <c r="B999" s="14"/>
    </row>
    <row r="1000">
      <c r="B1000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 t="s">
        <v>84</v>
      </c>
      <c r="B1" s="10" t="s">
        <v>85</v>
      </c>
      <c r="D1" s="11" t="str">
        <f>CONCATENATE(#REF!,"!a3:z3")</f>
        <v>#REF!</v>
      </c>
      <c r="E1" s="18"/>
      <c r="F1" s="18"/>
      <c r="G1" s="18"/>
    </row>
    <row r="2">
      <c r="A2" s="9" t="s">
        <v>86</v>
      </c>
      <c r="B2" s="12" t="s">
        <v>87</v>
      </c>
      <c r="E2" s="18"/>
      <c r="F2" s="18"/>
      <c r="G2" s="18"/>
    </row>
    <row r="3">
      <c r="A3" s="9" t="s">
        <v>88</v>
      </c>
      <c r="B3" s="13" t="s">
        <v>89</v>
      </c>
      <c r="E3" s="18"/>
      <c r="F3" s="18"/>
      <c r="G3" s="18"/>
    </row>
    <row r="4">
      <c r="B4" s="14"/>
      <c r="C4" s="9" t="s">
        <v>90</v>
      </c>
      <c r="D4" s="9" t="s">
        <v>91</v>
      </c>
      <c r="E4" s="19" t="s">
        <v>93</v>
      </c>
      <c r="F4" s="19" t="s">
        <v>94</v>
      </c>
      <c r="G4" s="19" t="s">
        <v>95</v>
      </c>
    </row>
    <row r="5">
      <c r="A5" s="15">
        <f>'Past Freezes'!A3</f>
        <v>44330</v>
      </c>
      <c r="B5" s="16" t="str">
        <f>'Past Freezes'!B3</f>
        <v>https://docs.google.com/spreadsheets/d/1Snr5hQqQCUj912WHVS0XqXB8d0kYNX5sRAhjuBonThQ/edit#gid=2135279250</v>
      </c>
      <c r="C5" s="11" t="str">
        <f>IFERROR(__xludf.DUMMYFUNCTION("Match($B$1,IMPORTRANGE(B5,""Coin Stats!a$3:zz$3""),0)"),"#REF!")</f>
        <v>#REF!</v>
      </c>
      <c r="D5" s="17" t="str">
        <f>IFERROR(__xludf.DUMMYFUNCTION("Match($B$3,IMPORTRANGE(B5,""Coin Stats!a:a""),0)"),"#REF!")</f>
        <v>#REF!</v>
      </c>
      <c r="E5" s="18" t="str">
        <f>IFERROR(__xludf.DUMMYFUNCTION("index(IMPORTRANGE(B5,""Coin Stats!a:zz""),D5, C5)"),"#REF!")</f>
        <v>#REF!</v>
      </c>
      <c r="F5" s="18"/>
      <c r="G5" s="18"/>
    </row>
    <row r="6">
      <c r="A6" s="15">
        <f>'Past Freezes'!A4</f>
        <v>44337</v>
      </c>
      <c r="B6" s="16" t="str">
        <f>'Past Freezes'!B4</f>
        <v>https://docs.google.com/spreadsheets/d/15Bhwdhe_FDFAVvo-Kabo5L_rQ9JvTBb1tR0VE2Gu9sU/edit#gid=622029069</v>
      </c>
      <c r="C6" s="9">
        <v>3.0</v>
      </c>
      <c r="D6" s="17">
        <f>IFERROR(__xludf.DUMMYFUNCTION("Match($B$3,IMPORTRANGE(B6,""Coin Stats!a:a""),0)"),6.0)</f>
        <v>6</v>
      </c>
      <c r="E6" s="18">
        <f>IFERROR(__xludf.DUMMYFUNCTION("index(IMPORTRANGE(B6,""Coin Stats!a:zz""),D6, C6)"),133590.56399584122)</f>
        <v>133590.564</v>
      </c>
      <c r="F6" s="20">
        <f>IFERROR(__xludf.DUMMYFUNCTION("index(IMPORTRANGE(B6,""Coin Stats!a:zz""),D6, C6+1)"),-141718.34114830487)</f>
        <v>-141718.3411</v>
      </c>
      <c r="G6" s="18">
        <f t="shared" ref="G6:G55" si="1">E6+F6</f>
        <v>-8127.777152</v>
      </c>
    </row>
    <row r="7">
      <c r="A7" s="15">
        <f>'Past Freezes'!A5</f>
        <v>44340</v>
      </c>
      <c r="B7" s="16" t="str">
        <f>'Past Freezes'!B5</f>
        <v>https://docs.google.com/spreadsheets/d/1gTysv_SRYx92BmwaXQE1pkcVunF5kPmTlCqA5qpzcCU/edit#gid=622029069</v>
      </c>
      <c r="C7" s="9">
        <v>3.0</v>
      </c>
      <c r="D7" s="17">
        <f>IFERROR(__xludf.DUMMYFUNCTION("Match($B$3,IMPORTRANGE(B7,""Coin Stats!a:a""),0)"),6.0)</f>
        <v>6</v>
      </c>
      <c r="E7" s="18">
        <f>IFERROR(__xludf.DUMMYFUNCTION("index(IMPORTRANGE(B7,""Coin Stats!a:zz""),D7, C7)"),137008.28624195445)</f>
        <v>137008.2862</v>
      </c>
      <c r="F7" s="20">
        <f>IFERROR(__xludf.DUMMYFUNCTION("index(IMPORTRANGE(B7,""Coin Stats!a:zz""),D7, C7+1)"),-141190.2106268395)</f>
        <v>-141190.2106</v>
      </c>
      <c r="G7" s="18">
        <f t="shared" si="1"/>
        <v>-4181.924385</v>
      </c>
    </row>
    <row r="8">
      <c r="A8" s="15">
        <f>'Past Freezes'!A6</f>
        <v>44344</v>
      </c>
      <c r="B8" s="16" t="str">
        <f>'Past Freezes'!B6</f>
        <v>https://docs.google.com/spreadsheets/d/1RT1rfxt10cnPieHu4OZFg4N29CSyIjYvT2cGf4gVuVk/edit#gid=622029069</v>
      </c>
      <c r="C8" s="9">
        <v>3.0</v>
      </c>
      <c r="D8" s="17">
        <f>IFERROR(__xludf.DUMMYFUNCTION("Match($B$3,IMPORTRANGE(B8,""Coin Stats!a:a""),0)"),6.0)</f>
        <v>6</v>
      </c>
      <c r="E8" s="18">
        <f>IFERROR(__xludf.DUMMYFUNCTION("index(IMPORTRANGE(B8,""Coin Stats!a:zz""),D8, C8)"),142065.6239343196)</f>
        <v>142065.6239</v>
      </c>
      <c r="F8" s="20">
        <f>IFERROR(__xludf.DUMMYFUNCTION("index(IMPORTRANGE(B8,""Coin Stats!a:zz""),D8, C8+1)"),-141835.9264956402)</f>
        <v>-141835.9265</v>
      </c>
      <c r="G8" s="18">
        <f t="shared" si="1"/>
        <v>229.6974387</v>
      </c>
    </row>
    <row r="9">
      <c r="A9" s="15">
        <f>'Past Freezes'!A7</f>
        <v>44351</v>
      </c>
      <c r="B9" s="16" t="str">
        <f>'Past Freezes'!B7</f>
        <v>https://docs.google.com/spreadsheets/d/1Wa37CsJrGOqz9vsmzMCK_d6insi1aEfsl9ThKP-gp98/edit#gid=622029069</v>
      </c>
      <c r="C9" s="9">
        <v>3.0</v>
      </c>
      <c r="D9" s="17">
        <f>IFERROR(__xludf.DUMMYFUNCTION("Match($B$3,IMPORTRANGE(B9,""Coin Stats!a:a""),0)"),6.0)</f>
        <v>6</v>
      </c>
      <c r="E9" s="18">
        <f>IFERROR(__xludf.DUMMYFUNCTION("index(IMPORTRANGE(B9,""Coin Stats!a:zz""),D9, C9)"),148047.61539401833)</f>
        <v>148047.6154</v>
      </c>
      <c r="F9" s="20">
        <f>IFERROR(__xludf.DUMMYFUNCTION("index(IMPORTRANGE(B9,""Coin Stats!a:zz""),D9, C9+1)"),-147148.9549008676)</f>
        <v>-147148.9549</v>
      </c>
      <c r="G9" s="18">
        <f t="shared" si="1"/>
        <v>898.6604932</v>
      </c>
    </row>
    <row r="10">
      <c r="A10" s="15">
        <f>'Past Freezes'!A8</f>
        <v>44358</v>
      </c>
      <c r="B10" s="16" t="str">
        <f>'Past Freezes'!B8</f>
        <v>https://docs.google.com/spreadsheets/d/1lSetu7RJILWgdDUcsQTzooHuTAQhoi1AyrbFapY2s2s/edit#gid=622029069</v>
      </c>
      <c r="C10" s="9">
        <v>3.0</v>
      </c>
      <c r="D10" s="17">
        <f>IFERROR(__xludf.DUMMYFUNCTION("Match($B$3,IMPORTRANGE(B10,""Coin Stats!a:a""),0)"),6.0)</f>
        <v>6</v>
      </c>
      <c r="E10" s="18">
        <f>IFERROR(__xludf.DUMMYFUNCTION("index(IMPORTRANGE(B10,""Coin Stats!a:zz""),D10, C10)"),153407.82266075606)</f>
        <v>153407.8227</v>
      </c>
      <c r="F10" s="20">
        <f>IFERROR(__xludf.DUMMYFUNCTION("index(IMPORTRANGE(B10,""Coin Stats!a:zz""),D10, C10+1)"),-151930.5909340087)</f>
        <v>-151930.5909</v>
      </c>
      <c r="G10" s="18">
        <f t="shared" si="1"/>
        <v>1477.231727</v>
      </c>
    </row>
    <row r="11">
      <c r="A11" s="15">
        <f>'Past Freezes'!A9</f>
        <v>44365</v>
      </c>
      <c r="B11" s="16" t="str">
        <f>'Past Freezes'!B9</f>
        <v>https://docs.google.com/spreadsheets/d/1Fpt02Z7IYyIAM_8tGeuPhQ2pNrFriITk4zKU1UFogyw/edit#gid=622029069</v>
      </c>
      <c r="C11" s="9">
        <v>3.0</v>
      </c>
      <c r="D11" s="17">
        <f>IFERROR(__xludf.DUMMYFUNCTION("Match($B$3,IMPORTRANGE(B11,""Coin Stats!a:a""),0)"),6.0)</f>
        <v>6</v>
      </c>
      <c r="E11" s="18">
        <f>IFERROR(__xludf.DUMMYFUNCTION("index(IMPORTRANGE(B11,""Coin Stats!a:zz""),D11, C11)"),158673.25139547046)</f>
        <v>158673.2514</v>
      </c>
      <c r="F11" s="20">
        <f>IFERROR(__xludf.DUMMYFUNCTION("index(IMPORTRANGE(B11,""Coin Stats!a:zz""),D11, C11+1)"),-158727.35664266022)</f>
        <v>-158727.3566</v>
      </c>
      <c r="G11" s="18">
        <f t="shared" si="1"/>
        <v>-54.10524719</v>
      </c>
    </row>
    <row r="12">
      <c r="A12" s="15">
        <f>'Past Freezes'!A10</f>
        <v>44372</v>
      </c>
      <c r="B12" s="16" t="str">
        <f>'Past Freezes'!B10</f>
        <v>https://docs.google.com/spreadsheets/d/1ndO6hS1i57aUcGc6LkGwirqM5rDr5vQ-RlKbYhmf-7A/edit#gid=622029069</v>
      </c>
      <c r="C12" s="9">
        <v>3.0</v>
      </c>
      <c r="D12" s="17">
        <f>IFERROR(__xludf.DUMMYFUNCTION("Match($B$3,IMPORTRANGE(B12,""Coin Stats!a:a""),0)"),7.0)</f>
        <v>7</v>
      </c>
      <c r="E12" s="18">
        <f>IFERROR(__xludf.DUMMYFUNCTION("index(IMPORTRANGE(B12,""Coin Stats!a:zz""),D12, C12)"),173950.50783194086)</f>
        <v>173950.5078</v>
      </c>
      <c r="F12" s="20">
        <f>IFERROR(__xludf.DUMMYFUNCTION("index(IMPORTRANGE(B12,""Coin Stats!a:zz""),D12, C12+1)"),-174219.00469721557)</f>
        <v>-174219.0047</v>
      </c>
      <c r="G12" s="18">
        <f t="shared" si="1"/>
        <v>-268.4968653</v>
      </c>
    </row>
    <row r="13">
      <c r="A13" s="15">
        <f>'Past Freezes'!A11</f>
        <v>44377</v>
      </c>
      <c r="B13" s="16" t="str">
        <f>'Past Freezes'!B11</f>
        <v>https://docs.google.com/spreadsheets/d/1X_9qOKVfxYB8SRIB29YjWu3Op9VndKvpyFx-BvFwx9U/edit#gid=622029069</v>
      </c>
      <c r="C13" s="9">
        <v>3.0</v>
      </c>
      <c r="D13" s="17">
        <f>IFERROR(__xludf.DUMMYFUNCTION("Match($B$3,IMPORTRANGE(B13,""Coin Stats!a:a""),0)"),7.0)</f>
        <v>7</v>
      </c>
      <c r="E13" s="18">
        <f>IFERROR(__xludf.DUMMYFUNCTION("index(IMPORTRANGE(B13,""Coin Stats!a:zz""),D13, C13)"),178569.18514482837)</f>
        <v>178569.1851</v>
      </c>
      <c r="F13" s="20">
        <f>IFERROR(__xludf.DUMMYFUNCTION("index(IMPORTRANGE(B13,""Coin Stats!a:zz""),D13, C13+1)"),-178973.09479187708)</f>
        <v>-178973.0948</v>
      </c>
      <c r="G13" s="18">
        <f t="shared" si="1"/>
        <v>-403.909647</v>
      </c>
    </row>
    <row r="14">
      <c r="A14" s="15">
        <f>'Past Freezes'!A12</f>
        <v>44386</v>
      </c>
      <c r="B14" s="16" t="str">
        <f>'Past Freezes'!B12</f>
        <v>https://docs.google.com/spreadsheets/d/1xFNOsSTp7a5pEP84_GauaE9DssINfAEznCYqe90AWtA/edit#gid=622029069</v>
      </c>
      <c r="C14" s="9">
        <v>3.0</v>
      </c>
      <c r="D14" s="17">
        <f>IFERROR(__xludf.DUMMYFUNCTION("Match($B$3,IMPORTRANGE(B14,""Coin Stats!a:a""),0)"),7.0)</f>
        <v>7</v>
      </c>
      <c r="E14" s="18">
        <f>IFERROR(__xludf.DUMMYFUNCTION("index(IMPORTRANGE(B14,""Coin Stats!a:zz""),D14, C14)"),164222.7551645152)</f>
        <v>164222.7552</v>
      </c>
      <c r="F14" s="20">
        <f>IFERROR(__xludf.DUMMYFUNCTION("index(IMPORTRANGE(B14,""Coin Stats!a:zz""),D14, C14+1)"),-165263.5152511466)</f>
        <v>-165263.5153</v>
      </c>
      <c r="G14" s="18">
        <f t="shared" si="1"/>
        <v>-1040.760087</v>
      </c>
    </row>
    <row r="15">
      <c r="A15" s="15">
        <f>'Past Freezes'!A13</f>
        <v>44393</v>
      </c>
      <c r="B15" s="16" t="str">
        <f>'Past Freezes'!B13</f>
        <v>https://docs.google.com/spreadsheets/d/14wJif0S3W8TBA1TTV9p02i6DY6_3645aC2vzn4rbJto/edit#gid=622029069</v>
      </c>
      <c r="C15" s="9">
        <v>3.0</v>
      </c>
      <c r="D15" s="17">
        <f>IFERROR(__xludf.DUMMYFUNCTION("Match($B$3,IMPORTRANGE(B15,""Coin Stats!a:a""),0)"),7.0)</f>
        <v>7</v>
      </c>
      <c r="E15" s="18">
        <f>IFERROR(__xludf.DUMMYFUNCTION("index(IMPORTRANGE(B15,""Coin Stats!a:zz""),D15, C15)"),169048.11279757708)</f>
        <v>169048.1128</v>
      </c>
      <c r="F15" s="20">
        <f>IFERROR(__xludf.DUMMYFUNCTION("index(IMPORTRANGE(B15,""Coin Stats!a:zz""),D15, C15+1)"),-169221.31697978947)</f>
        <v>-169221.317</v>
      </c>
      <c r="G15" s="18">
        <f t="shared" si="1"/>
        <v>-173.2041822</v>
      </c>
    </row>
    <row r="16">
      <c r="A16" s="15">
        <f>'Past Freezes'!A14</f>
        <v>44400</v>
      </c>
      <c r="B16" s="16" t="str">
        <f>'Past Freezes'!B14</f>
        <v>https://docs.google.com/spreadsheets/d/1Q8B3iDKvExYAIXlccoG68ezFgAuboTHZ42V_ut24_5U/edit#gid=622029069</v>
      </c>
      <c r="C16" s="9">
        <v>3.0</v>
      </c>
      <c r="D16" s="17">
        <f>IFERROR(__xludf.DUMMYFUNCTION("Match($B$3,IMPORTRANGE(B16,""Coin Stats!a:a""),0)"),7.0)</f>
        <v>7</v>
      </c>
      <c r="E16" s="18">
        <f>IFERROR(__xludf.DUMMYFUNCTION("index(IMPORTRANGE(B16,""Coin Stats!a:zz""),D16, C16)"),172491.8466842817)</f>
        <v>172491.8467</v>
      </c>
      <c r="F16" s="20">
        <f>IFERROR(__xludf.DUMMYFUNCTION("index(IMPORTRANGE(B16,""Coin Stats!a:zz""),D16, C16+1)"),-171675.13)</f>
        <v>-171675.13</v>
      </c>
      <c r="G16" s="18">
        <f t="shared" si="1"/>
        <v>816.7166843</v>
      </c>
    </row>
    <row r="17">
      <c r="A17" s="15">
        <f>'Past Freezes'!A15</f>
        <v>44407</v>
      </c>
      <c r="B17" s="16" t="str">
        <f>'Past Freezes'!B15</f>
        <v>https://docs.google.com/spreadsheets/d/1CbB66igOAZDvuMltWAsD7kedcJBxNojNfVGwe35GKxk/edit#gid=622029069</v>
      </c>
      <c r="C17" s="9">
        <v>3.0</v>
      </c>
      <c r="D17" s="17">
        <f>IFERROR(__xludf.DUMMYFUNCTION("Match($B$3,IMPORTRANGE(B17,""Coin Stats!a:a""),0)"),7.0)</f>
        <v>7</v>
      </c>
      <c r="E17" s="18">
        <f>IFERROR(__xludf.DUMMYFUNCTION("index(IMPORTRANGE(B17,""Coin Stats!a:zz""),D17, C17)"),169113.963911076)</f>
        <v>169113.9639</v>
      </c>
      <c r="F17" s="20">
        <f>IFERROR(__xludf.DUMMYFUNCTION("index(IMPORTRANGE(B17,""Coin Stats!a:zz""),D17, C17+1)"),-172652.31829128685)</f>
        <v>-172652.3183</v>
      </c>
      <c r="G17" s="18">
        <f t="shared" si="1"/>
        <v>-3538.35438</v>
      </c>
    </row>
    <row r="18">
      <c r="A18" s="15">
        <f>'Past Freezes'!A16</f>
        <v>44411</v>
      </c>
      <c r="B18" s="16" t="str">
        <f>'Past Freezes'!B16</f>
        <v>https://docs.google.com/spreadsheets/d/15udcUS_T7h_uzDvNuYTLASM1mIRpGTDgmDMrQJ5KTos/edit#gid=622029069</v>
      </c>
      <c r="C18" s="9">
        <v>3.0</v>
      </c>
      <c r="D18" s="17">
        <f>IFERROR(__xludf.DUMMYFUNCTION("Match($B$3,IMPORTRANGE(B18,""Coin Stats!a:a""),0)"),7.0)</f>
        <v>7</v>
      </c>
      <c r="E18" s="18">
        <f>IFERROR(__xludf.DUMMYFUNCTION("index(IMPORTRANGE(B18,""Coin Stats!a:zz""),D18, C18)"),175077.78902314501)</f>
        <v>175077.789</v>
      </c>
      <c r="F18" s="20">
        <f>IFERROR(__xludf.DUMMYFUNCTION("index(IMPORTRANGE(B18,""Coin Stats!a:zz""),D18, C18+1)"),-175299.60148526516)</f>
        <v>-175299.6015</v>
      </c>
      <c r="G18" s="18">
        <f t="shared" si="1"/>
        <v>-221.8124621</v>
      </c>
    </row>
    <row r="19">
      <c r="A19" s="15">
        <f>'Past Freezes'!A17</f>
        <v>44414</v>
      </c>
      <c r="B19" s="16" t="str">
        <f>'Past Freezes'!B17</f>
        <v>https://docs.google.com/spreadsheets/d/1J_GDSdhXe-E6Tr4jshfVn9GZASaZ5x0WBBlCX90WTPo/edit#gid=622029069</v>
      </c>
      <c r="C19" s="9">
        <v>3.0</v>
      </c>
      <c r="D19" s="17">
        <f>IFERROR(__xludf.DUMMYFUNCTION("Match($B$3,IMPORTRANGE(B19,""Coin Stats!a:a""),0)"),7.0)</f>
        <v>7</v>
      </c>
      <c r="E19" s="18">
        <f>IFERROR(__xludf.DUMMYFUNCTION("index(IMPORTRANGE(B19,""Coin Stats!a:zz""),D19, C19)"),178490.96027374011)</f>
        <v>178490.9603</v>
      </c>
      <c r="F19" s="20">
        <f>IFERROR(__xludf.DUMMYFUNCTION("index(IMPORTRANGE(B19,""Coin Stats!a:zz""),D19, C19+1)"),-178492.89496166242)</f>
        <v>-178492.895</v>
      </c>
      <c r="G19" s="18">
        <f t="shared" si="1"/>
        <v>-1.934687922</v>
      </c>
    </row>
    <row r="20">
      <c r="A20" s="15">
        <f>'Past Freezes'!A18</f>
        <v>44418</v>
      </c>
      <c r="B20" s="16" t="str">
        <f>'Past Freezes'!B18</f>
        <v>https://docs.google.com/spreadsheets/d/1hW7WGEQvWTuSo1h-9lhXdeLOX5GzRQ5LmqVLDsWr2mM/edit#gid=622029069</v>
      </c>
      <c r="C20" s="9">
        <v>3.0</v>
      </c>
      <c r="D20" s="17">
        <f>IFERROR(__xludf.DUMMYFUNCTION("Match($B$3,IMPORTRANGE(B20,""Coin Stats!a:a""),0)"),7.0)</f>
        <v>7</v>
      </c>
      <c r="E20" s="18">
        <f>IFERROR(__xludf.DUMMYFUNCTION("index(IMPORTRANGE(B20,""Coin Stats!a:zz""),D20, C20)"),179909.16053885475)</f>
        <v>179909.1605</v>
      </c>
      <c r="F20" s="20">
        <f>IFERROR(__xludf.DUMMYFUNCTION("index(IMPORTRANGE(B20,""Coin Stats!a:zz""),D20, C20+1)"),-179867.57082744275)</f>
        <v>-179867.5708</v>
      </c>
      <c r="G20" s="18">
        <f t="shared" si="1"/>
        <v>41.58971141</v>
      </c>
    </row>
    <row r="21">
      <c r="A21" s="15">
        <f>'Past Freezes'!A19</f>
        <v>44421</v>
      </c>
      <c r="B21" s="16" t="str">
        <f>'Past Freezes'!B19</f>
        <v>https://docs.google.com/spreadsheets/d/1tGWdkvBHgVVt1Xb_9Gn9ID_k2CeojMbh8zA4N0uykP8/edit#gid=622029069</v>
      </c>
      <c r="C21" s="9">
        <v>3.0</v>
      </c>
      <c r="D21" s="17">
        <f>IFERROR(__xludf.DUMMYFUNCTION("Match($B$3,IMPORTRANGE(B21,""Coin Stats!a:a""),0)"),7.0)</f>
        <v>7</v>
      </c>
      <c r="E21" s="18">
        <f>IFERROR(__xludf.DUMMYFUNCTION("index(IMPORTRANGE(B21,""Coin Stats!a:zz""),D21, C21)"),188032.50484039375)</f>
        <v>188032.5048</v>
      </c>
      <c r="F21" s="20">
        <f>IFERROR(__xludf.DUMMYFUNCTION("index(IMPORTRANGE(B21,""Coin Stats!a:zz""),D21, C21+1)"),-188323.1972016481)</f>
        <v>-188323.1972</v>
      </c>
      <c r="G21" s="18">
        <f t="shared" si="1"/>
        <v>-290.6923613</v>
      </c>
    </row>
    <row r="22">
      <c r="A22" s="15">
        <f>'Past Freezes'!A20</f>
        <v>44428</v>
      </c>
      <c r="B22" s="16" t="str">
        <f>'Past Freezes'!B20</f>
        <v>https://docs.google.com/spreadsheets/d/1JQI7TJRfrALaSMy81x0eFiZlTu5hwAixA2ddRpL82pU/edit#gid=622029069</v>
      </c>
      <c r="C22" s="9">
        <v>3.0</v>
      </c>
      <c r="D22" s="17">
        <f>IFERROR(__xludf.DUMMYFUNCTION("Match($B$3,IMPORTRANGE(B22,""Coin Stats!a:a""),0)"),7.0)</f>
        <v>7</v>
      </c>
      <c r="E22" s="18">
        <f>IFERROR(__xludf.DUMMYFUNCTION("index(IMPORTRANGE(B22,""Coin Stats!a:zz""),D22, C22)"),186266.20996895598)</f>
        <v>186266.21</v>
      </c>
      <c r="F22" s="20">
        <f>IFERROR(__xludf.DUMMYFUNCTION("index(IMPORTRANGE(B22,""Coin Stats!a:zz""),D22, C22+1)"),-187650.7502382246)</f>
        <v>-187650.7502</v>
      </c>
      <c r="G22" s="18">
        <f t="shared" si="1"/>
        <v>-1384.540269</v>
      </c>
    </row>
    <row r="23">
      <c r="A23" s="11" t="str">
        <f>'Past Freezes'!A21</f>
        <v>August 24-prelim</v>
      </c>
      <c r="B23" s="16" t="str">
        <f>'Past Freezes'!B21</f>
        <v>https://docs.google.com/spreadsheets/d/1ADNY1vjTouWSaGeYTrE75VJY9yxI4qSwlF6oB-3qH7M/edit#gid=622029069</v>
      </c>
      <c r="C23" s="9">
        <v>3.0</v>
      </c>
      <c r="D23" s="17">
        <f>IFERROR(__xludf.DUMMYFUNCTION("Match($B$3,IMPORTRANGE(B23,""Coin Stats!a:a""),0)"),7.0)</f>
        <v>7</v>
      </c>
      <c r="E23" s="18">
        <f>IFERROR(__xludf.DUMMYFUNCTION("index(IMPORTRANGE(B23,""Coin Stats!a:zz""),D23, C23)"),195699.9327409433)</f>
        <v>195699.9327</v>
      </c>
      <c r="F23" s="20">
        <f>IFERROR(__xludf.DUMMYFUNCTION("index(IMPORTRANGE(B23,""Coin Stats!a:zz""),D23, C23+1)"),-189263.25812487898)</f>
        <v>-189263.2581</v>
      </c>
      <c r="G23" s="18">
        <f t="shared" si="1"/>
        <v>6436.674616</v>
      </c>
    </row>
    <row r="24">
      <c r="A24" s="15">
        <f>'Past Freezes'!A22</f>
        <v>44432</v>
      </c>
      <c r="B24" s="16" t="str">
        <f>'Past Freezes'!B22</f>
        <v>https://docs.google.com/spreadsheets/d/14k323azDPGbcs2Yb606D3_RU7EuR25wYrbxWcE6Avv4/edit#gid=622029069</v>
      </c>
      <c r="C24" s="9">
        <v>3.0</v>
      </c>
      <c r="D24" s="17">
        <f>IFERROR(__xludf.DUMMYFUNCTION("Match($B$3,IMPORTRANGE(B24,""Coin Stats!a:a""),0)"),7.0)</f>
        <v>7</v>
      </c>
      <c r="E24" s="18">
        <f>IFERROR(__xludf.DUMMYFUNCTION("index(IMPORTRANGE(B24,""Coin Stats!a:zz""),D24, C24)"),190826.49907554602)</f>
        <v>190826.4991</v>
      </c>
      <c r="F24" s="20">
        <f>IFERROR(__xludf.DUMMYFUNCTION("index(IMPORTRANGE(B24,""Coin Stats!a:zz""),D24, C24+1)"),-186101.4585144816)</f>
        <v>-186101.4585</v>
      </c>
      <c r="G24" s="18">
        <f t="shared" si="1"/>
        <v>4725.040561</v>
      </c>
    </row>
    <row r="25">
      <c r="A25" s="15">
        <f>'Past Freezes'!A23</f>
        <v>44435</v>
      </c>
      <c r="B25" s="16" t="str">
        <f>'Past Freezes'!B23</f>
        <v>https://docs.google.com/spreadsheets/d/1YFUuoxlFCe0ZBOvX31Fp-OtzfzEvgOa2JfZ96Eoo75c/edit#gid=622029069</v>
      </c>
      <c r="C25" s="9">
        <v>3.0</v>
      </c>
      <c r="D25" s="17">
        <f>IFERROR(__xludf.DUMMYFUNCTION("Match($B$3,IMPORTRANGE(B25,""Coin Stats!a:a""),0)"),7.0)</f>
        <v>7</v>
      </c>
      <c r="E25" s="18">
        <f>IFERROR(__xludf.DUMMYFUNCTION("index(IMPORTRANGE(B25,""Coin Stats!a:zz""),D25, C25)"),193420.9699809269)</f>
        <v>193420.97</v>
      </c>
      <c r="F25" s="20">
        <f>IFERROR(__xludf.DUMMYFUNCTION("index(IMPORTRANGE(B25,""Coin Stats!a:zz""),D25, C25+1)"),-187543.30619979065)</f>
        <v>-187543.3062</v>
      </c>
      <c r="G25" s="18">
        <f t="shared" si="1"/>
        <v>5877.663781</v>
      </c>
    </row>
    <row r="26">
      <c r="A26" s="15">
        <f>'Past Freezes'!A24</f>
        <v>44439</v>
      </c>
      <c r="B26" s="16" t="str">
        <f>'Past Freezes'!B24</f>
        <v>https://docs.google.com/spreadsheets/d/1AlmGrWNltLFMiji81gfezXTQT4mb_1OMwPfIzzZXTrM/edit#gid=622029069</v>
      </c>
      <c r="C26" s="9">
        <v>3.0</v>
      </c>
      <c r="D26" s="17">
        <f>IFERROR(__xludf.DUMMYFUNCTION("Match($B$3,IMPORTRANGE(B26,""Coin Stats!a:a""),0)"),7.0)</f>
        <v>7</v>
      </c>
      <c r="E26" s="18">
        <f>IFERROR(__xludf.DUMMYFUNCTION("index(IMPORTRANGE(B26,""Coin Stats!a:zz""),D26, C26)"),195949.3575344239)</f>
        <v>195949.3575</v>
      </c>
      <c r="F26" s="20">
        <f>IFERROR(__xludf.DUMMYFUNCTION("index(IMPORTRANGE(B26,""Coin Stats!a:zz""),D26, C26+1)"),-189491.10258517528)</f>
        <v>-189491.1026</v>
      </c>
      <c r="G26" s="18">
        <f t="shared" si="1"/>
        <v>6458.254949</v>
      </c>
    </row>
    <row r="27">
      <c r="A27" s="11" t="str">
        <f>'Past Freezes'!A25</f>
        <v>September 3- prelim</v>
      </c>
      <c r="B27" s="16" t="str">
        <f>'Past Freezes'!B25</f>
        <v>https://docs.google.com/spreadsheets/d/1CzqlXd6fW7lUOrsjf3NJdcioKvUzWuri8jAmX9Dx99s/edit#gid=622029069</v>
      </c>
      <c r="C27" s="9">
        <v>3.0</v>
      </c>
      <c r="D27" s="17">
        <f>IFERROR(__xludf.DUMMYFUNCTION("Match($B$3,IMPORTRANGE(B27,""Coin Stats!a:a""),0)"),7.0)</f>
        <v>7</v>
      </c>
      <c r="E27" s="18">
        <f>IFERROR(__xludf.DUMMYFUNCTION("index(IMPORTRANGE(B27,""Coin Stats!a:zz""),D27, C27)"),197421.819189208)</f>
        <v>197421.8192</v>
      </c>
      <c r="F27" s="20">
        <f>IFERROR(__xludf.DUMMYFUNCTION("index(IMPORTRANGE(B27,""Coin Stats!a:zz""),D27, C27+1)"),-190652.18466451028)</f>
        <v>-190652.1847</v>
      </c>
      <c r="G27" s="18">
        <f t="shared" si="1"/>
        <v>6769.634525</v>
      </c>
    </row>
    <row r="28">
      <c r="A28" s="15">
        <f>'Past Freezes'!A26</f>
        <v>44442</v>
      </c>
      <c r="B28" s="16" t="str">
        <f>'Past Freezes'!B26</f>
        <v>https://docs.google.com/spreadsheets/d/1dG8t2eOeVsdfRM0e-p5MxIJKUU2wJo-LGNnRM4oLMsc/edit#gid=622029069</v>
      </c>
      <c r="C28" s="9">
        <v>3.0</v>
      </c>
      <c r="D28" s="17">
        <f>IFERROR(__xludf.DUMMYFUNCTION("Match($B$3,IMPORTRANGE(B28,""Coin Stats!a:a""),0)"),7.0)</f>
        <v>7</v>
      </c>
      <c r="E28" s="18">
        <f>IFERROR(__xludf.DUMMYFUNCTION("index(IMPORTRANGE(B28,""Coin Stats!a:zz""),D28, C28)"),197687.32971866557)</f>
        <v>197687.3297</v>
      </c>
      <c r="F28" s="20">
        <f>IFERROR(__xludf.DUMMYFUNCTION("index(IMPORTRANGE(B28,""Coin Stats!a:zz""),D28, C28+1)"),-190954.3268933605)</f>
        <v>-190954.3269</v>
      </c>
      <c r="G28" s="18">
        <f t="shared" si="1"/>
        <v>6733.002825</v>
      </c>
    </row>
    <row r="29">
      <c r="A29" s="15">
        <f>'Past Freezes'!A27</f>
        <v>44446</v>
      </c>
      <c r="B29" s="16" t="str">
        <f>'Past Freezes'!B27</f>
        <v>https://docs.google.com/spreadsheets/d/1FCZG2t4HXOOq6Ge8Wf7INMgha7_ts_V18n4GaX9ROXs/edit#gid=622029069</v>
      </c>
      <c r="C29" s="9">
        <v>3.0</v>
      </c>
      <c r="D29" s="17">
        <f>IFERROR(__xludf.DUMMYFUNCTION("Match($B$3,IMPORTRANGE(B29,""Coin Stats!a:a""),0)"),7.0)</f>
        <v>7</v>
      </c>
      <c r="E29" s="18">
        <f>IFERROR(__xludf.DUMMYFUNCTION("index(IMPORTRANGE(B29,""Coin Stats!a:zz""),D29, C29)"),182911.14742288296)</f>
        <v>182911.1474</v>
      </c>
      <c r="F29" s="20">
        <f>IFERROR(__xludf.DUMMYFUNCTION("index(IMPORTRANGE(B29,""Coin Stats!a:zz""),D29, C29+1)"),-177927.10654817693)</f>
        <v>-177927.1065</v>
      </c>
      <c r="G29" s="18">
        <f t="shared" si="1"/>
        <v>4984.040875</v>
      </c>
    </row>
    <row r="30">
      <c r="A30" s="11" t="str">
        <f>'Past Freezes'!A28</f>
        <v>September 10- prelim</v>
      </c>
      <c r="B30" s="16" t="str">
        <f>'Past Freezes'!B28</f>
        <v>https://docs.google.com/spreadsheets/d/147ZIb29xXZ8_wwQYOyC_LpF1qNTomYQy8yVOmknBezw/edit#gid=263247883</v>
      </c>
      <c r="C30" s="9">
        <v>3.0</v>
      </c>
      <c r="D30" s="17">
        <f>IFERROR(__xludf.DUMMYFUNCTION("Match($B$3,IMPORTRANGE(B30,""Coin Stats!a:a""),0)"),7.0)</f>
        <v>7</v>
      </c>
      <c r="E30" s="18">
        <f>IFERROR(__xludf.DUMMYFUNCTION("index(IMPORTRANGE(B30,""Coin Stats!a:zz""),D30, C30)"),199713.1718027454)</f>
        <v>199713.1718</v>
      </c>
      <c r="F30" s="20">
        <f>IFERROR(__xludf.DUMMYFUNCTION("index(IMPORTRANGE(B30,""Coin Stats!a:zz""),D30, C30+1)"),-193213.13274642665)</f>
        <v>-193213.1327</v>
      </c>
      <c r="G30" s="18">
        <f t="shared" si="1"/>
        <v>6500.039056</v>
      </c>
    </row>
    <row r="31">
      <c r="A31" s="15">
        <f>'Past Freezes'!A29</f>
        <v>44456</v>
      </c>
      <c r="B31" s="16" t="str">
        <f>'Past Freezes'!B29</f>
        <v>https://docs.google.com/spreadsheets/d/14BfQ2_DxJsx11gzWjRk1a7AUwFaX3HwL_snQrB7saD8/edit#gid=622029069</v>
      </c>
      <c r="C31" s="9">
        <v>3.0</v>
      </c>
      <c r="D31" s="17">
        <f>IFERROR(__xludf.DUMMYFUNCTION("Match($B$3,IMPORTRANGE(B31,""Coin Stats!a:a""),0)"),7.0)</f>
        <v>7</v>
      </c>
      <c r="E31" s="18">
        <f>IFERROR(__xludf.DUMMYFUNCTION("index(IMPORTRANGE(B31,""Coin Stats!a:zz""),D31, C31)"),204786.28023960654)</f>
        <v>204786.2802</v>
      </c>
      <c r="F31" s="20">
        <f>IFERROR(__xludf.DUMMYFUNCTION("index(IMPORTRANGE(B31,""Coin Stats!a:zz""),D31, C31+1)"),-197572.87533984458)</f>
        <v>-197572.8753</v>
      </c>
      <c r="G31" s="18">
        <f t="shared" si="1"/>
        <v>7213.4049</v>
      </c>
    </row>
    <row r="32">
      <c r="A32" s="11" t="str">
        <f>'Past Freezes'!A30</f>
        <v>September 21st Prelim</v>
      </c>
      <c r="B32" s="16" t="str">
        <f>'Past Freezes'!B30</f>
        <v>https://docs.google.com/spreadsheets/d/14T050KTrEHowULGPmTDSkVAT9szMPy96Zck9JIYUg1Y/edit#gid=263247883</v>
      </c>
      <c r="C32" s="9">
        <v>3.0</v>
      </c>
      <c r="D32" s="17">
        <f>IFERROR(__xludf.DUMMYFUNCTION("Match($B$3,IMPORTRANGE(B32,""Coin Stats!a:a""),0)"),7.0)</f>
        <v>7</v>
      </c>
      <c r="E32" s="18">
        <f>IFERROR(__xludf.DUMMYFUNCTION("index(IMPORTRANGE(B32,""Coin Stats!a:zz""),D32, C32)"),203305.38152254993)</f>
        <v>203305.3815</v>
      </c>
      <c r="F32" s="20">
        <f>IFERROR(__xludf.DUMMYFUNCTION("index(IMPORTRANGE(B32,""Coin Stats!a:zz""),D32, C32+1)"),-196537.45100234306)</f>
        <v>-196537.451</v>
      </c>
      <c r="G32" s="18">
        <f t="shared" si="1"/>
        <v>6767.93052</v>
      </c>
    </row>
    <row r="33">
      <c r="A33" s="11" t="str">
        <f>'Past Freezes'!A31</f>
        <v>September 21st </v>
      </c>
      <c r="B33" s="16" t="str">
        <f>'Past Freezes'!B31</f>
        <v>https://docs.google.com/spreadsheets/d/18TrQZs4Iv6kmgRrqnKgspEj2M0iXdOG0bdYzvGSl51c/edit#gid=1256055019</v>
      </c>
      <c r="C33" s="9">
        <v>3.0</v>
      </c>
      <c r="D33" s="17">
        <f>IFERROR(__xludf.DUMMYFUNCTION("Match($B$3,IMPORTRANGE(B33,""Coin Stats!a:a""),0)"),7.0)</f>
        <v>7</v>
      </c>
      <c r="E33" s="18">
        <f>IFERROR(__xludf.DUMMYFUNCTION("index(IMPORTRANGE(B33,""Coin Stats!a:zz""),D33, C33)"),203305.38152254993)</f>
        <v>203305.3815</v>
      </c>
      <c r="F33" s="20">
        <f>IFERROR(__xludf.DUMMYFUNCTION("index(IMPORTRANGE(B33,""Coin Stats!a:zz""),D33, C33+1)"),-196537.45100234306)</f>
        <v>-196537.451</v>
      </c>
      <c r="G33" s="18">
        <f t="shared" si="1"/>
        <v>6767.93052</v>
      </c>
    </row>
    <row r="34">
      <c r="A34" s="11" t="str">
        <f>'Past Freezes'!A32</f>
        <v>September 24th</v>
      </c>
      <c r="B34" s="16" t="str">
        <f>'Past Freezes'!B32</f>
        <v>https://docs.google.com/spreadsheets/d/1zrBN1i-yvlEbiiPHtuYm6yBK2xAD1NtbuoQrr_ZI6-M/edit#gid=0</v>
      </c>
      <c r="C34" s="9">
        <v>3.0</v>
      </c>
      <c r="D34" s="17">
        <f>IFERROR(__xludf.DUMMYFUNCTION("Match($B$3,IMPORTRANGE(B34,""Coin Stats!a:a""),0)"),7.0)</f>
        <v>7</v>
      </c>
      <c r="E34" s="18">
        <f>IFERROR(__xludf.DUMMYFUNCTION("index(IMPORTRANGE(B34,""Coin Stats!a:zz""),D34, C34)"),204017.4494133709)</f>
        <v>204017.4494</v>
      </c>
      <c r="F34" s="20">
        <f>IFERROR(__xludf.DUMMYFUNCTION("index(IMPORTRANGE(B34,""Coin Stats!a:zz""),D34, C34+1)"),-197154.0617601456)</f>
        <v>-197154.0618</v>
      </c>
      <c r="G34" s="18">
        <f t="shared" si="1"/>
        <v>6863.387653</v>
      </c>
    </row>
    <row r="35">
      <c r="A35" s="11" t="str">
        <f>'Past Freezes'!A33</f>
        <v>September 28th</v>
      </c>
      <c r="B35" s="16" t="str">
        <f>'Past Freezes'!B33</f>
        <v>https://docs.google.com/spreadsheets/d/143UvFbPUXfzPW8A92oADau1_KNA1suNquf9uGewGv9o/edit#gid=263247883</v>
      </c>
      <c r="C35" s="9">
        <v>3.0</v>
      </c>
      <c r="D35" s="17">
        <f>IFERROR(__xludf.DUMMYFUNCTION("Match($B$3,IMPORTRANGE(B35,""Coin Stats!a:a""),0)"),7.0)</f>
        <v>7</v>
      </c>
      <c r="E35" s="18">
        <f>IFERROR(__xludf.DUMMYFUNCTION("index(IMPORTRANGE(B35,""Coin Stats!a:zz""),D35, C35)"),204862.23541947093)</f>
        <v>204862.2354</v>
      </c>
      <c r="F35" s="20">
        <f>IFERROR(__xludf.DUMMYFUNCTION("index(IMPORTRANGE(B35,""Coin Stats!a:zz""),D35, C35+1)"),-197821.6139303155)</f>
        <v>-197821.6139</v>
      </c>
      <c r="G35" s="18">
        <f t="shared" si="1"/>
        <v>7040.621489</v>
      </c>
    </row>
    <row r="36">
      <c r="A36" s="11" t="str">
        <f>'Past Freezes'!A34</f>
        <v>September 30th</v>
      </c>
      <c r="B36" s="16" t="str">
        <f>'Past Freezes'!B34</f>
        <v>https://docs.google.com/spreadsheets/d/1oGlR7AsWvbfbhbIwRIsgSaZBZTe9vlJomBKAUiov-3c/edit#gid=263247883</v>
      </c>
      <c r="C36" s="9">
        <v>3.0</v>
      </c>
      <c r="D36" s="17">
        <f>IFERROR(__xludf.DUMMYFUNCTION("Match($B$3,IMPORTRANGE(B36,""Coin Stats!a:a""),0)"),7.0)</f>
        <v>7</v>
      </c>
      <c r="E36" s="18">
        <f>IFERROR(__xludf.DUMMYFUNCTION("index(IMPORTRANGE(B36,""Coin Stats!a:zz""),D36, C36)"),204803.0129398406)</f>
        <v>204803.0129</v>
      </c>
      <c r="F36" s="20">
        <f>IFERROR(__xludf.DUMMYFUNCTION("index(IMPORTRANGE(B36,""Coin Stats!a:zz""),D36, C36+1)"),-198147.63496492867)</f>
        <v>-198147.635</v>
      </c>
      <c r="G36" s="18">
        <f t="shared" si="1"/>
        <v>6655.377975</v>
      </c>
    </row>
    <row r="37">
      <c r="A37" s="11" t="str">
        <f>'Past Freezes'!A35</f>
        <v>October 5th</v>
      </c>
      <c r="B37" s="16" t="str">
        <f>'Past Freezes'!B35</f>
        <v>https://docs.google.com/spreadsheets/d/1mfydxuq97mjh7d6VwY-6ggfJnGxy7GMzNvjvmlt5iKw/edit#gid=263247883</v>
      </c>
      <c r="C37" s="9">
        <v>3.0</v>
      </c>
      <c r="D37" s="17">
        <f>IFERROR(__xludf.DUMMYFUNCTION("Match($B$3,IMPORTRANGE(B37,""Coin Stats!a:a""),0)"),7.0)</f>
        <v>7</v>
      </c>
      <c r="E37" s="18">
        <f>IFERROR(__xludf.DUMMYFUNCTION("index(IMPORTRANGE(B37,""Coin Stats!a:zz""),D37, C37)"),206346.40204891696)</f>
        <v>206346.402</v>
      </c>
      <c r="F37" s="20">
        <f>IFERROR(__xludf.DUMMYFUNCTION("index(IMPORTRANGE(B37,""Coin Stats!a:zz""),D37, C37+1)"),-199398.81050801868)</f>
        <v>-199398.8105</v>
      </c>
      <c r="G37" s="18">
        <f t="shared" si="1"/>
        <v>6947.591541</v>
      </c>
    </row>
    <row r="38">
      <c r="A38" s="11" t="str">
        <f>'Past Freezes'!A36</f>
        <v>October 8th</v>
      </c>
      <c r="B38" s="16" t="str">
        <f>'Past Freezes'!B36</f>
        <v>https://docs.google.com/spreadsheets/d/1QnD-_fxBGQRm0kPVLGoIEuiJepPQZp5uHPYR-SqZxsk/edit#gid=0</v>
      </c>
      <c r="C38" s="9">
        <v>3.0</v>
      </c>
      <c r="D38" s="17">
        <f>IFERROR(__xludf.DUMMYFUNCTION("Match($B$3,IMPORTRANGE(B38,""Coin Stats!a:a""),0)"),7.0)</f>
        <v>7</v>
      </c>
      <c r="E38" s="18">
        <f>IFERROR(__xludf.DUMMYFUNCTION("index(IMPORTRANGE(B38,""Coin Stats!a:zz""),D38, C38)"),204293.579578091)</f>
        <v>204293.5796</v>
      </c>
      <c r="F38" s="20">
        <f>IFERROR(__xludf.DUMMYFUNCTION("index(IMPORTRANGE(B38,""Coin Stats!a:zz""),D38, C38+1)"),-197113.32943603973)</f>
        <v>-197113.3294</v>
      </c>
      <c r="G38" s="18">
        <f t="shared" si="1"/>
        <v>7180.250142</v>
      </c>
    </row>
    <row r="39">
      <c r="A39" s="11" t="str">
        <f>'Past Freezes'!A37</f>
        <v>October 12th</v>
      </c>
      <c r="B39" s="16" t="str">
        <f>'Past Freezes'!B37</f>
        <v>https://docs.google.com/spreadsheets/d/1ec3xqxK1orxk3pJg7TR2Fu0bMY60jtt-qpgfaHizDJo/edit#gid=0</v>
      </c>
      <c r="C39" s="9">
        <v>3.0</v>
      </c>
      <c r="D39" s="17">
        <f>IFERROR(__xludf.DUMMYFUNCTION("Match($B$3,IMPORTRANGE(B39,""Coin Stats!a:a""),0)"),7.0)</f>
        <v>7</v>
      </c>
      <c r="E39" s="18">
        <f>IFERROR(__xludf.DUMMYFUNCTION("index(IMPORTRANGE(B39,""Coin Stats!a:zz""),D39, C39)"),203358.0490761731)</f>
        <v>203358.0491</v>
      </c>
      <c r="F39" s="20">
        <f>IFERROR(__xludf.DUMMYFUNCTION("index(IMPORTRANGE(B39,""Coin Stats!a:zz""),D39, C39+1)"),-196525.25097794132)</f>
        <v>-196525.251</v>
      </c>
      <c r="G39" s="18">
        <f t="shared" si="1"/>
        <v>6832.798098</v>
      </c>
    </row>
    <row r="40">
      <c r="A40" s="11" t="str">
        <f>'Past Freezes'!A38</f>
        <v>October 15th</v>
      </c>
      <c r="B40" s="16" t="str">
        <f>'Past Freezes'!B38</f>
        <v>https://docs.google.com/spreadsheets/d/1H9XsuWuS2RR6IpIhOxg8XV_f79KsEh2C8sw2XVuC8Bw/edit#gid=263247883</v>
      </c>
      <c r="C40" s="9">
        <v>3.0</v>
      </c>
      <c r="D40" s="17">
        <f>IFERROR(__xludf.DUMMYFUNCTION("Match($B$3,IMPORTRANGE(B40,""Coin Stats!a:a""),0)"),7.0)</f>
        <v>7</v>
      </c>
      <c r="E40" s="18">
        <f>IFERROR(__xludf.DUMMYFUNCTION("index(IMPORTRANGE(B40,""Coin Stats!a:zz""),D40, C40)"),203542.4682303668)</f>
        <v>203542.4682</v>
      </c>
      <c r="F40" s="20">
        <f>IFERROR(__xludf.DUMMYFUNCTION("index(IMPORTRANGE(B40,""Coin Stats!a:zz""),D40, C40+1)"),-196743.6121853917)</f>
        <v>-196743.6122</v>
      </c>
      <c r="G40" s="18">
        <f t="shared" si="1"/>
        <v>6798.856045</v>
      </c>
    </row>
    <row r="41">
      <c r="A41" s="11" t="str">
        <f>'Past Freezes'!A39</f>
        <v>October 22nd</v>
      </c>
      <c r="B41" s="16" t="str">
        <f>'Past Freezes'!B39</f>
        <v>https://docs.google.com/spreadsheets/d/10TgYwvdCU7xRjcL7cPw8qxtAAzxNXG3pVxm6SP9FpCw/edit#gid=263247883</v>
      </c>
      <c r="C41" s="9">
        <v>3.0</v>
      </c>
      <c r="D41" s="17">
        <f>IFERROR(__xludf.DUMMYFUNCTION("Match($B$3,IMPORTRANGE(B41,""Coin Stats!a:a""),0)"),7.0)</f>
        <v>7</v>
      </c>
      <c r="E41" s="18">
        <f>IFERROR(__xludf.DUMMYFUNCTION("index(IMPORTRANGE(B41,""Coin Stats!a:zz""),D41, C41)"),212359.4707324751)</f>
        <v>212359.4707</v>
      </c>
      <c r="F41" s="20">
        <f>IFERROR(__xludf.DUMMYFUNCTION("index(IMPORTRANGE(B41,""Coin Stats!a:zz""),D41, C41+1)"),-206004.1510786721)</f>
        <v>-206004.1511</v>
      </c>
      <c r="G41" s="18">
        <f t="shared" si="1"/>
        <v>6355.319654</v>
      </c>
    </row>
    <row r="42">
      <c r="A42" s="11" t="str">
        <f>'Past Freezes'!A40</f>
        <v>October 26th</v>
      </c>
      <c r="B42" s="16" t="str">
        <f>'Past Freezes'!B40</f>
        <v>https://docs.google.com/spreadsheets/d/176dVLmMOcdgq_QVNkbsvJ3n9eZ4wui95GDIOv4YG1tc/edit#gid=0</v>
      </c>
      <c r="C42" s="9">
        <v>3.0</v>
      </c>
      <c r="D42" s="17">
        <f>IFERROR(__xludf.DUMMYFUNCTION("Match($B$3,IMPORTRANGE(B42,""Coin Stats!a:a""),0)"),7.0)</f>
        <v>7</v>
      </c>
      <c r="E42" s="18">
        <f>IFERROR(__xludf.DUMMYFUNCTION("index(IMPORTRANGE(B42,""Coin Stats!a:zz""),D42, C42)"),214437.3764256563)</f>
        <v>214437.3764</v>
      </c>
      <c r="F42" s="20">
        <f>IFERROR(__xludf.DUMMYFUNCTION("index(IMPORTRANGE(B42,""Coin Stats!a:zz""),D42, C42+1)"),-208324.22540222813)</f>
        <v>-208324.2254</v>
      </c>
      <c r="G42" s="18">
        <f t="shared" si="1"/>
        <v>6113.151023</v>
      </c>
    </row>
    <row r="43">
      <c r="A43" s="11" t="str">
        <f>'Past Freezes'!A41</f>
        <v>October 29th</v>
      </c>
      <c r="B43" s="16" t="str">
        <f>'Past Freezes'!B41</f>
        <v>https://docs.google.com/spreadsheets/d/1GOnUFPE9o6dkL4P-Uy6IRg0ZgeTj3QwIQchP-_Og1lw/edit#gid=1630204704</v>
      </c>
      <c r="C43" s="9">
        <v>3.0</v>
      </c>
      <c r="D43" s="17">
        <f>IFERROR(__xludf.DUMMYFUNCTION("Match($B$3,IMPORTRANGE(B43,""Coin Stats!a:a""),0)"),7.0)</f>
        <v>7</v>
      </c>
      <c r="E43" s="18">
        <f>IFERROR(__xludf.DUMMYFUNCTION("index(IMPORTRANGE(B43,""Coin Stats!a:zz""),D43, C43)"),212161.0950157059)</f>
        <v>212161.095</v>
      </c>
      <c r="F43" s="20">
        <f>IFERROR(__xludf.DUMMYFUNCTION("index(IMPORTRANGE(B43,""Coin Stats!a:zz""),D43, C43+1)"),-206369.10931243227)</f>
        <v>-206369.1093</v>
      </c>
      <c r="G43" s="18">
        <f t="shared" si="1"/>
        <v>5791.985703</v>
      </c>
    </row>
    <row r="44">
      <c r="A44" s="11" t="str">
        <f>'Past Freezes'!A42</f>
        <v>November 5th</v>
      </c>
      <c r="B44" s="16" t="str">
        <f>'Past Freezes'!B42</f>
        <v>https://docs.google.com/spreadsheets/d/1aKqJRBxFlD3-a9zJfv5hIrOeQ5-kH2SPsofq9eDJ-wI/edit#gid=0</v>
      </c>
      <c r="C44" s="9">
        <v>3.0</v>
      </c>
      <c r="D44" s="17">
        <f>IFERROR(__xludf.DUMMYFUNCTION("Match($B$3,IMPORTRANGE(B44,""Coin Stats!a:a""),0)"),7.0)</f>
        <v>7</v>
      </c>
      <c r="E44" s="18">
        <f>IFERROR(__xludf.DUMMYFUNCTION("index(IMPORTRANGE(B44,""Coin Stats!a:zz""),D44, C44)"),212206.98985596225)</f>
        <v>212206.9899</v>
      </c>
      <c r="F44" s="20">
        <f>IFERROR(__xludf.DUMMYFUNCTION("index(IMPORTRANGE(B44,""Coin Stats!a:zz""),D44, C44+1)"),-206041.82752112963)</f>
        <v>-206041.8275</v>
      </c>
      <c r="G44" s="18">
        <f t="shared" si="1"/>
        <v>6165.162335</v>
      </c>
    </row>
    <row r="45">
      <c r="A45" s="11" t="str">
        <f>'Past Freezes'!A43</f>
        <v>November 9th</v>
      </c>
      <c r="B45" s="16" t="str">
        <f>'Past Freezes'!B43</f>
        <v>https://docs.google.com/spreadsheets/d/1t4-XiBAnw4ZHXdFBrVeiYkS1hf6KG9-Zl8we9X7q1AQ/edit#gid=0</v>
      </c>
      <c r="C45" s="9">
        <v>3.0</v>
      </c>
      <c r="D45" s="17">
        <f>IFERROR(__xludf.DUMMYFUNCTION("Match($B$3,IMPORTRANGE(B45,""Coin Stats!a:a""),0)"),7.0)</f>
        <v>7</v>
      </c>
      <c r="E45" s="18">
        <f>IFERROR(__xludf.DUMMYFUNCTION("index(IMPORTRANGE(B45,""Coin Stats!a:zz""),D45, C45)"),211913.0132506752)</f>
        <v>211913.0133</v>
      </c>
      <c r="F45" s="20">
        <f>IFERROR(__xludf.DUMMYFUNCTION("index(IMPORTRANGE(B45,""Coin Stats!a:zz""),D45, C45+1)"),-205588.67153817887)</f>
        <v>-205588.6715</v>
      </c>
      <c r="G45" s="18">
        <f t="shared" si="1"/>
        <v>6324.341712</v>
      </c>
    </row>
    <row r="46">
      <c r="A46" s="11" t="str">
        <f>'Past Freezes'!A44</f>
        <v>November 12th </v>
      </c>
      <c r="B46" s="16" t="str">
        <f>'Past Freezes'!B44</f>
        <v>https://docs.google.com/spreadsheets/d/1K7XE2HJWDz5MwIKoNEcODxi8yTAawlK9MKnRbg8NkGQ/edit#gid=0</v>
      </c>
      <c r="C46" s="9">
        <v>3.0</v>
      </c>
      <c r="D46" s="17">
        <f>IFERROR(__xludf.DUMMYFUNCTION("Match($B$3,IMPORTRANGE(B46,""Coin Stats!a:a""),0)"),7.0)</f>
        <v>7</v>
      </c>
      <c r="E46" s="18">
        <f>IFERROR(__xludf.DUMMYFUNCTION("index(IMPORTRANGE(B46,""Coin Stats!a:zz""),D46, C46)"),208715.84080051593)</f>
        <v>208715.8408</v>
      </c>
      <c r="F46" s="20">
        <f>IFERROR(__xludf.DUMMYFUNCTION("index(IMPORTRANGE(B46,""Coin Stats!a:zz""),D46, C46+1)"),-204552.6328120587)</f>
        <v>-204552.6328</v>
      </c>
      <c r="G46" s="18">
        <f t="shared" si="1"/>
        <v>4163.207988</v>
      </c>
    </row>
    <row r="47">
      <c r="A47" s="11" t="str">
        <f>'Past Freezes'!A45</f>
        <v>November 16th</v>
      </c>
      <c r="B47" s="16" t="str">
        <f>'Past Freezes'!B45</f>
        <v>https://docs.google.com/spreadsheets/d/1DyWfgrfr3hRhdx8wokTpYqZtrmvrlTEjwIgKvWYYC-0/edit#gid=0</v>
      </c>
      <c r="C47" s="9">
        <v>3.0</v>
      </c>
      <c r="D47" s="17">
        <f>IFERROR(__xludf.DUMMYFUNCTION("Match($B$3,IMPORTRANGE(B47,""Coin Stats!a:a""),0)"),7.0)</f>
        <v>7</v>
      </c>
      <c r="E47" s="18">
        <f>IFERROR(__xludf.DUMMYFUNCTION("index(IMPORTRANGE(B47,""Coin Stats!a:zz""),D47, C47)"),194490.81368433087)</f>
        <v>194490.8137</v>
      </c>
      <c r="F47" s="20">
        <f>IFERROR(__xludf.DUMMYFUNCTION("index(IMPORTRANGE(B47,""Coin Stats!a:zz""),D47, C47+1)"),-191696.72801473772)</f>
        <v>-191696.728</v>
      </c>
      <c r="G47" s="18">
        <f t="shared" si="1"/>
        <v>2794.08567</v>
      </c>
    </row>
    <row r="48">
      <c r="A48" s="11" t="str">
        <f>'Past Freezes'!A46</f>
        <v>November 19th</v>
      </c>
      <c r="B48" s="16" t="str">
        <f>'Past Freezes'!B46</f>
        <v>https://docs.google.com/spreadsheets/d/1UIXREr-YjBRsyT2yiQB2yuwJbOHxzUZDvpnM531lePE/edit#gid=0</v>
      </c>
      <c r="C48" s="9">
        <v>3.0</v>
      </c>
      <c r="D48" s="17">
        <f>IFERROR(__xludf.DUMMYFUNCTION("Match($B$3,IMPORTRANGE(B48,""Coin Stats!a:a""),0)"),7.0)</f>
        <v>7</v>
      </c>
      <c r="E48" s="18">
        <f>IFERROR(__xludf.DUMMYFUNCTION("index(IMPORTRANGE(B48,""Coin Stats!a:zz""),D48, C48)"),208773.60897064538)</f>
        <v>208773.609</v>
      </c>
      <c r="F48" s="20">
        <f>IFERROR(__xludf.DUMMYFUNCTION("index(IMPORTRANGE(B48,""Coin Stats!a:zz""),D48, C48+1)"),-204377.47646627203)</f>
        <v>-204377.4765</v>
      </c>
      <c r="G48" s="18">
        <f t="shared" si="1"/>
        <v>4396.132504</v>
      </c>
    </row>
    <row r="49">
      <c r="A49" s="11" t="str">
        <f>'Past Freezes'!A47</f>
        <v>November 23rd</v>
      </c>
      <c r="B49" s="16" t="str">
        <f>'Past Freezes'!B47</f>
        <v>https://docs.google.com/spreadsheets/d/1zpgnBKcrqTvotVoNQL7_t1xyEBaN5x4NM62_9_L3Bvs/edit#gid=0</v>
      </c>
      <c r="C49" s="9">
        <v>3.0</v>
      </c>
      <c r="D49" s="17">
        <f>IFERROR(__xludf.DUMMYFUNCTION("Match($B$3,IMPORTRANGE(B49,""Coin Stats!a:a""),0)"),7.0)</f>
        <v>7</v>
      </c>
      <c r="E49" s="18">
        <f>IFERROR(__xludf.DUMMYFUNCTION("index(IMPORTRANGE(B49,""Coin Stats!a:zz""),D49, C49)"),207094.53809450046)</f>
        <v>207094.5381</v>
      </c>
      <c r="F49" s="20">
        <f>IFERROR(__xludf.DUMMYFUNCTION("index(IMPORTRANGE(B49,""Coin Stats!a:zz""),D49, C49+1)"),-202197.24221786403)</f>
        <v>-202197.2422</v>
      </c>
      <c r="G49" s="18">
        <f t="shared" si="1"/>
        <v>4897.295877</v>
      </c>
    </row>
    <row r="50">
      <c r="A50" s="11" t="str">
        <f>'Past Freezes'!A48</f>
        <v>November 26th</v>
      </c>
      <c r="B50" s="16" t="str">
        <f>'Past Freezes'!B48</f>
        <v>https://docs.google.com/spreadsheets/d/1kCYPqNtGjdJdX765-pn1GdBkSFtgBFzaNeqZyyKUq9U/edit#gid=1827643887</v>
      </c>
      <c r="C50" s="9">
        <v>3.0</v>
      </c>
      <c r="D50" s="17">
        <f>IFERROR(__xludf.DUMMYFUNCTION("Match($B$3,IMPORTRANGE(B50,""Coin Stats!a:a""),0)"),7.0)</f>
        <v>7</v>
      </c>
      <c r="E50" s="18">
        <f>IFERROR(__xludf.DUMMYFUNCTION("index(IMPORTRANGE(B50,""Coin Stats!a:zz""),D50, C50)"),207237.10233470539)</f>
        <v>207237.1023</v>
      </c>
      <c r="F50" s="20">
        <f>IFERROR(__xludf.DUMMYFUNCTION("index(IMPORTRANGE(B50,""Coin Stats!a:zz""),D50, C50+1)"),-202132.80836057424)</f>
        <v>-202132.8084</v>
      </c>
      <c r="G50" s="18">
        <f t="shared" si="1"/>
        <v>5104.293974</v>
      </c>
    </row>
    <row r="51">
      <c r="A51" s="11" t="str">
        <f>'Past Freezes'!A49</f>
        <v>November 30th</v>
      </c>
      <c r="B51" s="16" t="str">
        <f>'Past Freezes'!B49</f>
        <v>https://docs.google.com/spreadsheets/d/1kSrGkwvlWa6XA_8bDyf2jvNRydldcRkGMutFjkqDHl0/edit#gid=0</v>
      </c>
      <c r="C51" s="9">
        <v>3.0</v>
      </c>
      <c r="D51" s="17">
        <f>IFERROR(__xludf.DUMMYFUNCTION("Match($B$3,IMPORTRANGE(B51,""Coin Stats!a:a""),0)"),7.0)</f>
        <v>7</v>
      </c>
      <c r="E51" s="18">
        <f>IFERROR(__xludf.DUMMYFUNCTION("index(IMPORTRANGE(B51,""Coin Stats!a:zz""),D51, C51)"),206383.47540175717)</f>
        <v>206383.4754</v>
      </c>
      <c r="F51" s="20">
        <f>IFERROR(__xludf.DUMMYFUNCTION("index(IMPORTRANGE(B51,""Coin Stats!a:zz""),D51, C51+1)"),-201106.05019669535)</f>
        <v>-201106.0502</v>
      </c>
      <c r="G51" s="18">
        <f t="shared" si="1"/>
        <v>5277.425205</v>
      </c>
    </row>
    <row r="52">
      <c r="A52" s="11" t="str">
        <f>'Past Freezes'!A50</f>
        <v>December 3rd</v>
      </c>
      <c r="B52" s="16" t="str">
        <f>'Past Freezes'!B50</f>
        <v>https://docs.google.com/spreadsheets/d/11KaZLnIXvUg9IW0o1410Jvs1WBkZB_fRQPhkYKm7XM4/edit#gid=0</v>
      </c>
      <c r="C52" s="9">
        <v>3.0</v>
      </c>
      <c r="D52" s="17">
        <f>IFERROR(__xludf.DUMMYFUNCTION("Match($B$3,IMPORTRANGE(B52,""Coin Stats!a:a""),0)"),7.0)</f>
        <v>7</v>
      </c>
      <c r="E52" s="18">
        <f>IFERROR(__xludf.DUMMYFUNCTION("index(IMPORTRANGE(B52,""Coin Stats!a:zz""),D52, C52)"),204281.0791600893)</f>
        <v>204281.0792</v>
      </c>
      <c r="F52" s="20">
        <f>IFERROR(__xludf.DUMMYFUNCTION("index(IMPORTRANGE(B52,""Coin Stats!a:zz""),D52, C52+1)"),-198009.54492686005)</f>
        <v>-198009.5449</v>
      </c>
      <c r="G52" s="18">
        <f t="shared" si="1"/>
        <v>6271.534233</v>
      </c>
    </row>
    <row r="53">
      <c r="A53" s="11" t="str">
        <f>'Past Freezes'!A51</f>
        <v>December 7th</v>
      </c>
      <c r="B53" s="16" t="str">
        <f>'Past Freezes'!B51</f>
        <v>https://docs.google.com/spreadsheets/d/1GTkQCYVkmmOaXZhTJb9vzP1NCHO03f6qJPXdHnljbmc/edit#gid=0((((</v>
      </c>
      <c r="C53" s="9">
        <v>3.0</v>
      </c>
      <c r="D53" s="17">
        <f>IFERROR(__xludf.DUMMYFUNCTION("Match($B$3,IMPORTRANGE(B53,""Coin Stats!a:a""),0)"),7.0)</f>
        <v>7</v>
      </c>
      <c r="E53" s="18">
        <f>IFERROR(__xludf.DUMMYFUNCTION("index(IMPORTRANGE(B53,""Coin Stats!a:zz""),D53, C53)"),206108.13348222937)</f>
        <v>206108.1335</v>
      </c>
      <c r="F53" s="20">
        <f>IFERROR(__xludf.DUMMYFUNCTION("index(IMPORTRANGE(B53,""Coin Stats!a:zz""),D53, C53+1)"),-180781.7411833721)</f>
        <v>-180781.7412</v>
      </c>
      <c r="G53" s="18">
        <f t="shared" si="1"/>
        <v>25326.3923</v>
      </c>
    </row>
    <row r="54">
      <c r="A54" s="11" t="str">
        <f>'Past Freezes'!A52</f>
        <v>December 10th</v>
      </c>
      <c r="B54" s="16" t="str">
        <f>'Past Freezes'!B52</f>
        <v>https://docs.google.com/spreadsheets/d/1KqnOVFE64kNqzoIoYukalRwH2zM8VYgbObv-9Hrk9hk/edit#gid=0</v>
      </c>
      <c r="C54" s="9">
        <v>3.0</v>
      </c>
      <c r="D54" s="17">
        <f>IFERROR(__xludf.DUMMYFUNCTION("Match($B$3,IMPORTRANGE(B54,""Coin Stats!a:a""),0)"),7.0)</f>
        <v>7</v>
      </c>
      <c r="E54" s="18">
        <f>IFERROR(__xludf.DUMMYFUNCTION("index(IMPORTRANGE(B54,""Coin Stats!a:zz""),D54, C54)"),197660.1477717548)</f>
        <v>197660.1478</v>
      </c>
      <c r="F54" s="20">
        <f>IFERROR(__xludf.DUMMYFUNCTION("index(IMPORTRANGE(B54,""Coin Stats!a:zz""),D54, C54+1)"),-199170.13288558667)</f>
        <v>-199170.1329</v>
      </c>
      <c r="G54" s="18">
        <f t="shared" si="1"/>
        <v>-1509.985114</v>
      </c>
    </row>
    <row r="55">
      <c r="A55" s="11" t="str">
        <f>'Past Freezes'!A53</f>
        <v>December 14th</v>
      </c>
      <c r="B55" s="16" t="str">
        <f>'Past Freezes'!B53</f>
        <v>https://docs.google.com/spreadsheets/d/19allSgCykMW10UuO7wBtBaxawtgca-RQceBwCxNYEtQ/edit#gid=0</v>
      </c>
      <c r="C55" s="9">
        <v>3.0</v>
      </c>
      <c r="D55" s="17">
        <f>IFERROR(__xludf.DUMMYFUNCTION("Match($B$3,IMPORTRANGE(B55,""Coin Stats!a:a""),0)"),7.0)</f>
        <v>7</v>
      </c>
      <c r="E55" s="18">
        <f>IFERROR(__xludf.DUMMYFUNCTION("index(IMPORTRANGE(B55,""Coin Stats!a:zz""),D55, C55)"),197318.14645898098)</f>
        <v>197318.1465</v>
      </c>
      <c r="F55" s="20">
        <f>IFERROR(__xludf.DUMMYFUNCTION("index(IMPORTRANGE(B55,""Coin Stats!a:zz""),D55, C55+1)"),-179956.30327057498)</f>
        <v>-179956.3033</v>
      </c>
      <c r="G55" s="18">
        <f t="shared" si="1"/>
        <v>17361.84319</v>
      </c>
    </row>
    <row r="56">
      <c r="B56" s="14"/>
      <c r="E56" s="18"/>
      <c r="F56" s="18"/>
      <c r="G56" s="18"/>
    </row>
    <row r="57">
      <c r="B57" s="14"/>
      <c r="E57" s="18"/>
      <c r="F57" s="18"/>
      <c r="G57" s="18"/>
    </row>
    <row r="58">
      <c r="B58" s="14"/>
      <c r="E58" s="18"/>
      <c r="F58" s="18"/>
      <c r="G58" s="18"/>
    </row>
    <row r="59">
      <c r="B59" s="14"/>
      <c r="E59" s="18"/>
      <c r="F59" s="18"/>
      <c r="G59" s="18"/>
    </row>
    <row r="60">
      <c r="B60" s="14"/>
      <c r="E60" s="18"/>
      <c r="F60" s="18"/>
      <c r="G60" s="18"/>
    </row>
    <row r="61">
      <c r="B61" s="14"/>
      <c r="E61" s="18"/>
      <c r="F61" s="18"/>
      <c r="G61" s="18"/>
    </row>
    <row r="62">
      <c r="B62" s="14"/>
      <c r="E62" s="18"/>
      <c r="F62" s="18"/>
      <c r="G62" s="18"/>
    </row>
    <row r="63">
      <c r="B63" s="14"/>
      <c r="E63" s="18"/>
      <c r="F63" s="18"/>
      <c r="G63" s="18"/>
    </row>
    <row r="64">
      <c r="B64" s="14"/>
      <c r="E64" s="18"/>
      <c r="F64" s="18"/>
      <c r="G64" s="18"/>
    </row>
    <row r="65">
      <c r="B65" s="14"/>
      <c r="E65" s="18"/>
      <c r="F65" s="18"/>
      <c r="G65" s="18"/>
    </row>
    <row r="66">
      <c r="B66" s="14"/>
      <c r="E66" s="18"/>
      <c r="F66" s="18"/>
      <c r="G66" s="18"/>
    </row>
    <row r="67">
      <c r="B67" s="14"/>
      <c r="E67" s="18"/>
      <c r="F67" s="18"/>
      <c r="G67" s="18"/>
    </row>
    <row r="68">
      <c r="B68" s="14"/>
      <c r="E68" s="18"/>
      <c r="F68" s="18"/>
      <c r="G68" s="18"/>
    </row>
    <row r="69">
      <c r="B69" s="14"/>
      <c r="E69" s="18"/>
      <c r="F69" s="18"/>
      <c r="G69" s="18"/>
    </row>
    <row r="70">
      <c r="B70" s="14"/>
      <c r="E70" s="18"/>
      <c r="F70" s="18"/>
      <c r="G70" s="18"/>
    </row>
    <row r="71">
      <c r="B71" s="14"/>
      <c r="E71" s="18"/>
      <c r="F71" s="18"/>
      <c r="G71" s="18"/>
    </row>
    <row r="72">
      <c r="B72" s="14"/>
      <c r="E72" s="18"/>
      <c r="F72" s="18"/>
      <c r="G72" s="18"/>
    </row>
    <row r="73">
      <c r="B73" s="14"/>
      <c r="E73" s="18"/>
      <c r="F73" s="18"/>
      <c r="G73" s="18"/>
    </row>
    <row r="74">
      <c r="B74" s="14"/>
      <c r="E74" s="18"/>
      <c r="F74" s="18"/>
      <c r="G74" s="18"/>
    </row>
    <row r="75">
      <c r="B75" s="14"/>
      <c r="E75" s="18"/>
      <c r="F75" s="18"/>
      <c r="G75" s="18"/>
    </row>
    <row r="76">
      <c r="B76" s="14"/>
      <c r="E76" s="18"/>
      <c r="F76" s="18"/>
      <c r="G76" s="18"/>
    </row>
    <row r="77">
      <c r="B77" s="14"/>
      <c r="E77" s="18"/>
      <c r="F77" s="18"/>
      <c r="G77" s="18"/>
    </row>
    <row r="78">
      <c r="B78" s="14"/>
      <c r="E78" s="18"/>
      <c r="F78" s="18"/>
      <c r="G78" s="18"/>
    </row>
    <row r="79">
      <c r="B79" s="14"/>
      <c r="E79" s="18"/>
      <c r="F79" s="18"/>
      <c r="G79" s="18"/>
    </row>
    <row r="80">
      <c r="B80" s="14"/>
      <c r="E80" s="18"/>
      <c r="F80" s="18"/>
      <c r="G80" s="18"/>
    </row>
    <row r="81">
      <c r="B81" s="14"/>
      <c r="E81" s="18"/>
      <c r="F81" s="18"/>
      <c r="G81" s="18"/>
    </row>
    <row r="82">
      <c r="B82" s="14"/>
      <c r="E82" s="18"/>
      <c r="F82" s="18"/>
      <c r="G82" s="18"/>
    </row>
    <row r="83">
      <c r="B83" s="14"/>
      <c r="E83" s="18"/>
      <c r="F83" s="18"/>
      <c r="G83" s="18"/>
    </row>
    <row r="84">
      <c r="B84" s="14"/>
      <c r="E84" s="18"/>
      <c r="F84" s="18"/>
      <c r="G84" s="18"/>
    </row>
    <row r="85">
      <c r="B85" s="14"/>
      <c r="E85" s="18"/>
      <c r="F85" s="18"/>
      <c r="G85" s="18"/>
    </row>
    <row r="86">
      <c r="B86" s="14"/>
      <c r="E86" s="18"/>
      <c r="F86" s="18"/>
      <c r="G86" s="18"/>
    </row>
    <row r="87">
      <c r="B87" s="14"/>
      <c r="E87" s="18"/>
      <c r="F87" s="18"/>
      <c r="G87" s="18"/>
    </row>
    <row r="88">
      <c r="B88" s="14"/>
      <c r="E88" s="18"/>
      <c r="F88" s="18"/>
      <c r="G88" s="18"/>
    </row>
    <row r="89">
      <c r="B89" s="14"/>
      <c r="E89" s="18"/>
      <c r="F89" s="18"/>
      <c r="G89" s="18"/>
    </row>
    <row r="90">
      <c r="B90" s="14"/>
      <c r="E90" s="18"/>
      <c r="F90" s="18"/>
      <c r="G90" s="18"/>
    </row>
    <row r="91">
      <c r="B91" s="14"/>
      <c r="E91" s="18"/>
      <c r="F91" s="18"/>
      <c r="G91" s="18"/>
    </row>
    <row r="92">
      <c r="B92" s="14"/>
      <c r="E92" s="18"/>
      <c r="F92" s="18"/>
      <c r="G92" s="18"/>
    </row>
    <row r="93">
      <c r="B93" s="14"/>
      <c r="E93" s="18"/>
      <c r="F93" s="18"/>
      <c r="G93" s="18"/>
    </row>
    <row r="94">
      <c r="B94" s="14"/>
      <c r="E94" s="18"/>
      <c r="F94" s="18"/>
      <c r="G94" s="18"/>
    </row>
    <row r="95">
      <c r="B95" s="14"/>
      <c r="E95" s="18"/>
      <c r="F95" s="18"/>
      <c r="G95" s="18"/>
    </row>
    <row r="96">
      <c r="B96" s="14"/>
      <c r="E96" s="18"/>
      <c r="F96" s="18"/>
      <c r="G96" s="18"/>
    </row>
    <row r="97">
      <c r="B97" s="14"/>
      <c r="E97" s="18"/>
      <c r="F97" s="18"/>
      <c r="G97" s="18"/>
    </row>
    <row r="98">
      <c r="B98" s="14"/>
      <c r="E98" s="18"/>
      <c r="F98" s="18"/>
      <c r="G98" s="18"/>
    </row>
    <row r="99">
      <c r="B99" s="14"/>
      <c r="E99" s="18"/>
      <c r="F99" s="18"/>
      <c r="G99" s="18"/>
    </row>
    <row r="100">
      <c r="B100" s="14"/>
      <c r="E100" s="18"/>
      <c r="F100" s="18"/>
      <c r="G100" s="18"/>
    </row>
    <row r="101">
      <c r="B101" s="14"/>
      <c r="E101" s="18"/>
      <c r="F101" s="18"/>
      <c r="G101" s="18"/>
    </row>
    <row r="102">
      <c r="B102" s="14"/>
      <c r="E102" s="18"/>
      <c r="F102" s="18"/>
      <c r="G102" s="18"/>
    </row>
    <row r="103">
      <c r="B103" s="14"/>
      <c r="E103" s="18"/>
      <c r="F103" s="18"/>
      <c r="G103" s="18"/>
    </row>
    <row r="104">
      <c r="B104" s="14"/>
      <c r="E104" s="18"/>
      <c r="F104" s="18"/>
      <c r="G104" s="18"/>
    </row>
    <row r="105">
      <c r="B105" s="14"/>
      <c r="E105" s="18"/>
      <c r="F105" s="18"/>
      <c r="G105" s="18"/>
    </row>
    <row r="106">
      <c r="B106" s="14"/>
      <c r="E106" s="18"/>
      <c r="F106" s="18"/>
      <c r="G106" s="18"/>
    </row>
    <row r="107">
      <c r="B107" s="14"/>
      <c r="E107" s="18"/>
      <c r="F107" s="18"/>
      <c r="G107" s="18"/>
    </row>
    <row r="108">
      <c r="B108" s="14"/>
      <c r="E108" s="18"/>
      <c r="F108" s="18"/>
      <c r="G108" s="18"/>
    </row>
    <row r="109">
      <c r="B109" s="14"/>
      <c r="E109" s="18"/>
      <c r="F109" s="18"/>
      <c r="G109" s="18"/>
    </row>
    <row r="110">
      <c r="B110" s="14"/>
      <c r="E110" s="18"/>
      <c r="F110" s="18"/>
      <c r="G110" s="18"/>
    </row>
    <row r="111">
      <c r="B111" s="14"/>
      <c r="E111" s="18"/>
      <c r="F111" s="18"/>
      <c r="G111" s="18"/>
    </row>
    <row r="112">
      <c r="B112" s="14"/>
      <c r="E112" s="18"/>
      <c r="F112" s="18"/>
      <c r="G112" s="18"/>
    </row>
    <row r="113">
      <c r="B113" s="14"/>
      <c r="E113" s="18"/>
      <c r="F113" s="18"/>
      <c r="G113" s="18"/>
    </row>
    <row r="114">
      <c r="B114" s="14"/>
      <c r="E114" s="18"/>
      <c r="F114" s="18"/>
      <c r="G114" s="18"/>
    </row>
    <row r="115">
      <c r="B115" s="14"/>
      <c r="E115" s="18"/>
      <c r="F115" s="18"/>
      <c r="G115" s="18"/>
    </row>
    <row r="116">
      <c r="B116" s="14"/>
      <c r="E116" s="18"/>
      <c r="F116" s="18"/>
      <c r="G116" s="18"/>
    </row>
    <row r="117">
      <c r="B117" s="14"/>
      <c r="E117" s="18"/>
      <c r="F117" s="18"/>
      <c r="G117" s="18"/>
    </row>
    <row r="118">
      <c r="B118" s="14"/>
      <c r="E118" s="18"/>
      <c r="F118" s="18"/>
      <c r="G118" s="18"/>
    </row>
    <row r="119">
      <c r="B119" s="14"/>
      <c r="E119" s="18"/>
      <c r="F119" s="18"/>
      <c r="G119" s="18"/>
    </row>
    <row r="120">
      <c r="B120" s="14"/>
      <c r="E120" s="18"/>
      <c r="F120" s="18"/>
      <c r="G120" s="18"/>
    </row>
    <row r="121">
      <c r="B121" s="14"/>
      <c r="E121" s="18"/>
      <c r="F121" s="18"/>
      <c r="G121" s="18"/>
    </row>
    <row r="122">
      <c r="B122" s="14"/>
      <c r="E122" s="18"/>
      <c r="F122" s="18"/>
      <c r="G122" s="18"/>
    </row>
    <row r="123">
      <c r="B123" s="14"/>
      <c r="E123" s="18"/>
      <c r="F123" s="18"/>
      <c r="G123" s="18"/>
    </row>
    <row r="124">
      <c r="B124" s="14"/>
      <c r="E124" s="18"/>
      <c r="F124" s="18"/>
      <c r="G124" s="18"/>
    </row>
    <row r="125">
      <c r="B125" s="14"/>
      <c r="E125" s="18"/>
      <c r="F125" s="18"/>
      <c r="G125" s="18"/>
    </row>
    <row r="126">
      <c r="B126" s="14"/>
      <c r="E126" s="18"/>
      <c r="F126" s="18"/>
      <c r="G126" s="18"/>
    </row>
    <row r="127">
      <c r="B127" s="14"/>
      <c r="E127" s="18"/>
      <c r="F127" s="18"/>
      <c r="G127" s="18"/>
    </row>
    <row r="128">
      <c r="B128" s="14"/>
      <c r="E128" s="18"/>
      <c r="F128" s="18"/>
      <c r="G128" s="18"/>
    </row>
    <row r="129">
      <c r="B129" s="14"/>
      <c r="E129" s="18"/>
      <c r="F129" s="18"/>
      <c r="G129" s="18"/>
    </row>
    <row r="130">
      <c r="B130" s="14"/>
      <c r="E130" s="18"/>
      <c r="F130" s="18"/>
      <c r="G130" s="18"/>
    </row>
    <row r="131">
      <c r="B131" s="14"/>
      <c r="E131" s="18"/>
      <c r="F131" s="18"/>
      <c r="G131" s="18"/>
    </row>
    <row r="132">
      <c r="B132" s="14"/>
      <c r="E132" s="18"/>
      <c r="F132" s="18"/>
      <c r="G132" s="18"/>
    </row>
    <row r="133">
      <c r="B133" s="14"/>
      <c r="E133" s="18"/>
      <c r="F133" s="18"/>
      <c r="G133" s="18"/>
    </row>
    <row r="134">
      <c r="B134" s="14"/>
      <c r="E134" s="18"/>
      <c r="F134" s="18"/>
      <c r="G134" s="18"/>
    </row>
    <row r="135">
      <c r="B135" s="14"/>
      <c r="E135" s="18"/>
      <c r="F135" s="18"/>
      <c r="G135" s="18"/>
    </row>
    <row r="136">
      <c r="B136" s="14"/>
      <c r="E136" s="18"/>
      <c r="F136" s="18"/>
      <c r="G136" s="18"/>
    </row>
    <row r="137">
      <c r="B137" s="14"/>
      <c r="E137" s="18"/>
      <c r="F137" s="18"/>
      <c r="G137" s="18"/>
    </row>
    <row r="138">
      <c r="B138" s="14"/>
      <c r="E138" s="18"/>
      <c r="F138" s="18"/>
      <c r="G138" s="18"/>
    </row>
    <row r="139">
      <c r="B139" s="14"/>
      <c r="E139" s="18"/>
      <c r="F139" s="18"/>
      <c r="G139" s="18"/>
    </row>
    <row r="140">
      <c r="B140" s="14"/>
      <c r="E140" s="18"/>
      <c r="F140" s="18"/>
      <c r="G140" s="18"/>
    </row>
    <row r="141">
      <c r="B141" s="14"/>
      <c r="E141" s="18"/>
      <c r="F141" s="18"/>
      <c r="G141" s="18"/>
    </row>
    <row r="142">
      <c r="B142" s="14"/>
      <c r="E142" s="18"/>
      <c r="F142" s="18"/>
      <c r="G142" s="18"/>
    </row>
    <row r="143">
      <c r="B143" s="14"/>
      <c r="E143" s="18"/>
      <c r="F143" s="18"/>
      <c r="G143" s="18"/>
    </row>
    <row r="144">
      <c r="B144" s="14"/>
      <c r="E144" s="18"/>
      <c r="F144" s="18"/>
      <c r="G144" s="18"/>
    </row>
    <row r="145">
      <c r="B145" s="14"/>
      <c r="E145" s="18"/>
      <c r="F145" s="18"/>
      <c r="G145" s="18"/>
    </row>
    <row r="146">
      <c r="B146" s="14"/>
      <c r="E146" s="18"/>
      <c r="F146" s="18"/>
      <c r="G146" s="18"/>
    </row>
    <row r="147">
      <c r="B147" s="14"/>
      <c r="E147" s="18"/>
      <c r="F147" s="18"/>
      <c r="G147" s="18"/>
    </row>
    <row r="148">
      <c r="B148" s="14"/>
      <c r="E148" s="18"/>
      <c r="F148" s="18"/>
      <c r="G148" s="18"/>
    </row>
    <row r="149">
      <c r="B149" s="14"/>
      <c r="E149" s="18"/>
      <c r="F149" s="18"/>
      <c r="G149" s="18"/>
    </row>
    <row r="150">
      <c r="B150" s="14"/>
      <c r="E150" s="18"/>
      <c r="F150" s="18"/>
      <c r="G150" s="18"/>
    </row>
    <row r="151">
      <c r="B151" s="14"/>
      <c r="E151" s="18"/>
      <c r="F151" s="18"/>
      <c r="G151" s="18"/>
    </row>
    <row r="152">
      <c r="B152" s="14"/>
      <c r="E152" s="18"/>
      <c r="F152" s="18"/>
      <c r="G152" s="18"/>
    </row>
    <row r="153">
      <c r="B153" s="14"/>
      <c r="E153" s="18"/>
      <c r="F153" s="18"/>
      <c r="G153" s="18"/>
    </row>
    <row r="154">
      <c r="B154" s="14"/>
      <c r="E154" s="18"/>
      <c r="F154" s="18"/>
      <c r="G154" s="18"/>
    </row>
    <row r="155">
      <c r="B155" s="14"/>
      <c r="E155" s="18"/>
      <c r="F155" s="18"/>
      <c r="G155" s="18"/>
    </row>
    <row r="156">
      <c r="B156" s="14"/>
      <c r="E156" s="18"/>
      <c r="F156" s="18"/>
      <c r="G156" s="18"/>
    </row>
    <row r="157">
      <c r="B157" s="14"/>
      <c r="E157" s="18"/>
      <c r="F157" s="18"/>
      <c r="G157" s="18"/>
    </row>
    <row r="158">
      <c r="B158" s="14"/>
      <c r="E158" s="18"/>
      <c r="F158" s="18"/>
      <c r="G158" s="18"/>
    </row>
    <row r="159">
      <c r="B159" s="14"/>
      <c r="E159" s="18"/>
      <c r="F159" s="18"/>
      <c r="G159" s="18"/>
    </row>
    <row r="160">
      <c r="B160" s="14"/>
      <c r="E160" s="18"/>
      <c r="F160" s="18"/>
      <c r="G160" s="18"/>
    </row>
    <row r="161">
      <c r="B161" s="14"/>
      <c r="E161" s="18"/>
      <c r="F161" s="18"/>
      <c r="G161" s="18"/>
    </row>
    <row r="162">
      <c r="B162" s="14"/>
      <c r="E162" s="18"/>
      <c r="F162" s="18"/>
      <c r="G162" s="18"/>
    </row>
    <row r="163">
      <c r="B163" s="14"/>
      <c r="E163" s="18"/>
      <c r="F163" s="18"/>
      <c r="G163" s="18"/>
    </row>
    <row r="164">
      <c r="B164" s="14"/>
      <c r="E164" s="18"/>
      <c r="F164" s="18"/>
      <c r="G164" s="18"/>
    </row>
    <row r="165">
      <c r="B165" s="14"/>
      <c r="E165" s="18"/>
      <c r="F165" s="18"/>
      <c r="G165" s="18"/>
    </row>
    <row r="166">
      <c r="B166" s="14"/>
      <c r="E166" s="18"/>
      <c r="F166" s="18"/>
      <c r="G166" s="18"/>
    </row>
    <row r="167">
      <c r="B167" s="14"/>
      <c r="E167" s="18"/>
      <c r="F167" s="18"/>
      <c r="G167" s="18"/>
    </row>
    <row r="168">
      <c r="B168" s="14"/>
      <c r="E168" s="18"/>
      <c r="F168" s="18"/>
      <c r="G168" s="18"/>
    </row>
    <row r="169">
      <c r="B169" s="14"/>
      <c r="E169" s="18"/>
      <c r="F169" s="18"/>
      <c r="G169" s="18"/>
    </row>
    <row r="170">
      <c r="B170" s="14"/>
      <c r="E170" s="18"/>
      <c r="F170" s="18"/>
      <c r="G170" s="18"/>
    </row>
    <row r="171">
      <c r="B171" s="14"/>
      <c r="E171" s="18"/>
      <c r="F171" s="18"/>
      <c r="G171" s="18"/>
    </row>
    <row r="172">
      <c r="B172" s="14"/>
      <c r="E172" s="18"/>
      <c r="F172" s="18"/>
      <c r="G172" s="18"/>
    </row>
    <row r="173">
      <c r="B173" s="14"/>
      <c r="E173" s="18"/>
      <c r="F173" s="18"/>
      <c r="G173" s="18"/>
    </row>
    <row r="174">
      <c r="B174" s="14"/>
      <c r="E174" s="18"/>
      <c r="F174" s="18"/>
      <c r="G174" s="18"/>
    </row>
    <row r="175">
      <c r="B175" s="14"/>
      <c r="E175" s="18"/>
      <c r="F175" s="18"/>
      <c r="G175" s="18"/>
    </row>
    <row r="176">
      <c r="B176" s="14"/>
      <c r="E176" s="18"/>
      <c r="F176" s="18"/>
      <c r="G176" s="18"/>
    </row>
    <row r="177">
      <c r="B177" s="14"/>
      <c r="E177" s="18"/>
      <c r="F177" s="18"/>
      <c r="G177" s="18"/>
    </row>
    <row r="178">
      <c r="B178" s="14"/>
      <c r="E178" s="18"/>
      <c r="F178" s="18"/>
      <c r="G178" s="18"/>
    </row>
    <row r="179">
      <c r="B179" s="14"/>
      <c r="E179" s="18"/>
      <c r="F179" s="18"/>
      <c r="G179" s="18"/>
    </row>
    <row r="180">
      <c r="B180" s="14"/>
      <c r="E180" s="18"/>
      <c r="F180" s="18"/>
      <c r="G180" s="18"/>
    </row>
    <row r="181">
      <c r="B181" s="14"/>
      <c r="E181" s="18"/>
      <c r="F181" s="18"/>
      <c r="G181" s="18"/>
    </row>
    <row r="182">
      <c r="B182" s="14"/>
      <c r="E182" s="18"/>
      <c r="F182" s="18"/>
      <c r="G182" s="18"/>
    </row>
    <row r="183">
      <c r="B183" s="14"/>
      <c r="E183" s="18"/>
      <c r="F183" s="18"/>
      <c r="G183" s="18"/>
    </row>
    <row r="184">
      <c r="B184" s="14"/>
      <c r="E184" s="18"/>
      <c r="F184" s="18"/>
      <c r="G184" s="18"/>
    </row>
    <row r="185">
      <c r="B185" s="14"/>
      <c r="E185" s="18"/>
      <c r="F185" s="18"/>
      <c r="G185" s="18"/>
    </row>
    <row r="186">
      <c r="B186" s="14"/>
      <c r="E186" s="18"/>
      <c r="F186" s="18"/>
      <c r="G186" s="18"/>
    </row>
    <row r="187">
      <c r="B187" s="14"/>
      <c r="E187" s="18"/>
      <c r="F187" s="18"/>
      <c r="G187" s="18"/>
    </row>
    <row r="188">
      <c r="B188" s="14"/>
      <c r="E188" s="18"/>
      <c r="F188" s="18"/>
      <c r="G188" s="18"/>
    </row>
    <row r="189">
      <c r="B189" s="14"/>
      <c r="E189" s="18"/>
      <c r="F189" s="18"/>
      <c r="G189" s="18"/>
    </row>
    <row r="190">
      <c r="B190" s="14"/>
      <c r="E190" s="18"/>
      <c r="F190" s="18"/>
      <c r="G190" s="18"/>
    </row>
    <row r="191">
      <c r="B191" s="14"/>
      <c r="E191" s="18"/>
      <c r="F191" s="18"/>
      <c r="G191" s="18"/>
    </row>
    <row r="192">
      <c r="B192" s="14"/>
      <c r="E192" s="18"/>
      <c r="F192" s="18"/>
      <c r="G192" s="18"/>
    </row>
    <row r="193">
      <c r="B193" s="14"/>
      <c r="E193" s="18"/>
      <c r="F193" s="18"/>
      <c r="G193" s="18"/>
    </row>
    <row r="194">
      <c r="B194" s="14"/>
      <c r="E194" s="18"/>
      <c r="F194" s="18"/>
      <c r="G194" s="18"/>
    </row>
    <row r="195">
      <c r="B195" s="14"/>
      <c r="E195" s="18"/>
      <c r="F195" s="18"/>
      <c r="G195" s="18"/>
    </row>
    <row r="196">
      <c r="B196" s="14"/>
      <c r="E196" s="18"/>
      <c r="F196" s="18"/>
      <c r="G196" s="18"/>
    </row>
    <row r="197">
      <c r="B197" s="14"/>
      <c r="E197" s="18"/>
      <c r="F197" s="18"/>
      <c r="G197" s="18"/>
    </row>
    <row r="198">
      <c r="B198" s="14"/>
      <c r="E198" s="18"/>
      <c r="F198" s="18"/>
      <c r="G198" s="18"/>
    </row>
    <row r="199">
      <c r="B199" s="14"/>
      <c r="E199" s="18"/>
      <c r="F199" s="18"/>
      <c r="G199" s="18"/>
    </row>
    <row r="200">
      <c r="B200" s="14"/>
      <c r="E200" s="18"/>
      <c r="F200" s="18"/>
      <c r="G200" s="18"/>
    </row>
    <row r="201">
      <c r="B201" s="14"/>
      <c r="E201" s="18"/>
      <c r="F201" s="18"/>
      <c r="G201" s="18"/>
    </row>
    <row r="202">
      <c r="B202" s="14"/>
      <c r="E202" s="18"/>
      <c r="F202" s="18"/>
      <c r="G202" s="18"/>
    </row>
    <row r="203">
      <c r="B203" s="14"/>
      <c r="E203" s="18"/>
      <c r="F203" s="18"/>
      <c r="G203" s="18"/>
    </row>
    <row r="204">
      <c r="B204" s="14"/>
      <c r="E204" s="18"/>
      <c r="F204" s="18"/>
      <c r="G204" s="18"/>
    </row>
    <row r="205">
      <c r="B205" s="14"/>
      <c r="E205" s="18"/>
      <c r="F205" s="18"/>
      <c r="G205" s="18"/>
    </row>
    <row r="206">
      <c r="B206" s="14"/>
      <c r="E206" s="18"/>
      <c r="F206" s="18"/>
      <c r="G206" s="18"/>
    </row>
    <row r="207">
      <c r="B207" s="14"/>
      <c r="E207" s="18"/>
      <c r="F207" s="18"/>
      <c r="G207" s="18"/>
    </row>
    <row r="208">
      <c r="B208" s="14"/>
      <c r="E208" s="18"/>
      <c r="F208" s="18"/>
      <c r="G208" s="18"/>
    </row>
    <row r="209">
      <c r="B209" s="14"/>
      <c r="E209" s="18"/>
      <c r="F209" s="18"/>
      <c r="G209" s="18"/>
    </row>
    <row r="210">
      <c r="B210" s="14"/>
      <c r="E210" s="18"/>
      <c r="F210" s="18"/>
      <c r="G210" s="18"/>
    </row>
    <row r="211">
      <c r="B211" s="14"/>
      <c r="E211" s="18"/>
      <c r="F211" s="18"/>
      <c r="G211" s="18"/>
    </row>
    <row r="212">
      <c r="B212" s="14"/>
      <c r="E212" s="18"/>
      <c r="F212" s="18"/>
      <c r="G212" s="18"/>
    </row>
    <row r="213">
      <c r="B213" s="14"/>
      <c r="E213" s="18"/>
      <c r="F213" s="18"/>
      <c r="G213" s="18"/>
    </row>
    <row r="214">
      <c r="B214" s="14"/>
      <c r="E214" s="18"/>
      <c r="F214" s="18"/>
      <c r="G214" s="18"/>
    </row>
    <row r="215">
      <c r="B215" s="14"/>
      <c r="E215" s="18"/>
      <c r="F215" s="18"/>
      <c r="G215" s="18"/>
    </row>
    <row r="216">
      <c r="B216" s="14"/>
      <c r="E216" s="18"/>
      <c r="F216" s="18"/>
      <c r="G216" s="18"/>
    </row>
    <row r="217">
      <c r="B217" s="14"/>
      <c r="E217" s="18"/>
      <c r="F217" s="18"/>
      <c r="G217" s="18"/>
    </row>
    <row r="218">
      <c r="B218" s="14"/>
      <c r="E218" s="18"/>
      <c r="F218" s="18"/>
      <c r="G218" s="18"/>
    </row>
    <row r="219">
      <c r="B219" s="14"/>
      <c r="E219" s="18"/>
      <c r="F219" s="18"/>
      <c r="G219" s="18"/>
    </row>
    <row r="220">
      <c r="B220" s="14"/>
      <c r="E220" s="18"/>
      <c r="F220" s="18"/>
      <c r="G220" s="18"/>
    </row>
    <row r="221">
      <c r="B221" s="14"/>
      <c r="E221" s="18"/>
      <c r="F221" s="18"/>
      <c r="G221" s="18"/>
    </row>
    <row r="222">
      <c r="B222" s="14"/>
      <c r="E222" s="18"/>
      <c r="F222" s="18"/>
      <c r="G222" s="18"/>
    </row>
    <row r="223">
      <c r="B223" s="14"/>
      <c r="E223" s="18"/>
      <c r="F223" s="18"/>
      <c r="G223" s="18"/>
    </row>
    <row r="224">
      <c r="B224" s="14"/>
      <c r="E224" s="18"/>
      <c r="F224" s="18"/>
      <c r="G224" s="18"/>
    </row>
    <row r="225">
      <c r="B225" s="14"/>
      <c r="E225" s="18"/>
      <c r="F225" s="18"/>
      <c r="G225" s="18"/>
    </row>
    <row r="226">
      <c r="B226" s="14"/>
      <c r="E226" s="18"/>
      <c r="F226" s="18"/>
      <c r="G226" s="18"/>
    </row>
    <row r="227">
      <c r="B227" s="14"/>
      <c r="E227" s="18"/>
      <c r="F227" s="18"/>
      <c r="G227" s="18"/>
    </row>
    <row r="228">
      <c r="B228" s="14"/>
      <c r="E228" s="18"/>
      <c r="F228" s="18"/>
      <c r="G228" s="18"/>
    </row>
    <row r="229">
      <c r="B229" s="14"/>
      <c r="E229" s="18"/>
      <c r="F229" s="18"/>
      <c r="G229" s="18"/>
    </row>
    <row r="230">
      <c r="B230" s="14"/>
      <c r="E230" s="18"/>
      <c r="F230" s="18"/>
      <c r="G230" s="18"/>
    </row>
    <row r="231">
      <c r="B231" s="14"/>
      <c r="E231" s="18"/>
      <c r="F231" s="18"/>
      <c r="G231" s="18"/>
    </row>
    <row r="232">
      <c r="B232" s="14"/>
      <c r="E232" s="18"/>
      <c r="F232" s="18"/>
      <c r="G232" s="18"/>
    </row>
    <row r="233">
      <c r="B233" s="14"/>
      <c r="E233" s="18"/>
      <c r="F233" s="18"/>
      <c r="G233" s="18"/>
    </row>
    <row r="234">
      <c r="B234" s="14"/>
      <c r="E234" s="18"/>
      <c r="F234" s="18"/>
      <c r="G234" s="18"/>
    </row>
    <row r="235">
      <c r="B235" s="14"/>
      <c r="E235" s="18"/>
      <c r="F235" s="18"/>
      <c r="G235" s="18"/>
    </row>
    <row r="236">
      <c r="B236" s="14"/>
      <c r="E236" s="18"/>
      <c r="F236" s="18"/>
      <c r="G236" s="18"/>
    </row>
    <row r="237">
      <c r="B237" s="14"/>
      <c r="E237" s="18"/>
      <c r="F237" s="18"/>
      <c r="G237" s="18"/>
    </row>
    <row r="238">
      <c r="B238" s="14"/>
      <c r="E238" s="18"/>
      <c r="F238" s="18"/>
      <c r="G238" s="18"/>
    </row>
    <row r="239">
      <c r="B239" s="14"/>
      <c r="E239" s="18"/>
      <c r="F239" s="18"/>
      <c r="G239" s="18"/>
    </row>
    <row r="240">
      <c r="B240" s="14"/>
      <c r="E240" s="18"/>
      <c r="F240" s="18"/>
      <c r="G240" s="18"/>
    </row>
    <row r="241">
      <c r="B241" s="14"/>
      <c r="E241" s="18"/>
      <c r="F241" s="18"/>
      <c r="G241" s="18"/>
    </row>
    <row r="242">
      <c r="B242" s="14"/>
      <c r="E242" s="18"/>
      <c r="F242" s="18"/>
      <c r="G242" s="18"/>
    </row>
    <row r="243">
      <c r="B243" s="14"/>
      <c r="E243" s="18"/>
      <c r="F243" s="18"/>
      <c r="G243" s="18"/>
    </row>
    <row r="244">
      <c r="B244" s="14"/>
      <c r="E244" s="18"/>
      <c r="F244" s="18"/>
      <c r="G244" s="18"/>
    </row>
    <row r="245">
      <c r="B245" s="14"/>
      <c r="E245" s="18"/>
      <c r="F245" s="18"/>
      <c r="G245" s="18"/>
    </row>
    <row r="246">
      <c r="B246" s="14"/>
      <c r="E246" s="18"/>
      <c r="F246" s="18"/>
      <c r="G246" s="18"/>
    </row>
    <row r="247">
      <c r="B247" s="14"/>
      <c r="E247" s="18"/>
      <c r="F247" s="18"/>
      <c r="G247" s="18"/>
    </row>
    <row r="248">
      <c r="B248" s="14"/>
      <c r="E248" s="18"/>
      <c r="F248" s="18"/>
      <c r="G248" s="18"/>
    </row>
    <row r="249">
      <c r="B249" s="14"/>
      <c r="E249" s="18"/>
      <c r="F249" s="18"/>
      <c r="G249" s="18"/>
    </row>
    <row r="250">
      <c r="B250" s="14"/>
      <c r="E250" s="18"/>
      <c r="F250" s="18"/>
      <c r="G250" s="18"/>
    </row>
    <row r="251">
      <c r="B251" s="14"/>
      <c r="E251" s="18"/>
      <c r="F251" s="18"/>
      <c r="G251" s="18"/>
    </row>
    <row r="252">
      <c r="B252" s="14"/>
      <c r="E252" s="18"/>
      <c r="F252" s="18"/>
      <c r="G252" s="18"/>
    </row>
    <row r="253">
      <c r="B253" s="14"/>
      <c r="E253" s="18"/>
      <c r="F253" s="18"/>
      <c r="G253" s="18"/>
    </row>
    <row r="254">
      <c r="B254" s="14"/>
      <c r="E254" s="18"/>
      <c r="F254" s="18"/>
      <c r="G254" s="18"/>
    </row>
    <row r="255">
      <c r="B255" s="14"/>
      <c r="E255" s="18"/>
      <c r="F255" s="18"/>
      <c r="G255" s="18"/>
    </row>
    <row r="256">
      <c r="B256" s="14"/>
      <c r="E256" s="18"/>
      <c r="F256" s="18"/>
      <c r="G256" s="18"/>
    </row>
    <row r="257">
      <c r="B257" s="14"/>
      <c r="E257" s="18"/>
      <c r="F257" s="18"/>
      <c r="G257" s="18"/>
    </row>
    <row r="258">
      <c r="B258" s="14"/>
      <c r="E258" s="18"/>
      <c r="F258" s="18"/>
      <c r="G258" s="18"/>
    </row>
    <row r="259">
      <c r="B259" s="14"/>
      <c r="E259" s="18"/>
      <c r="F259" s="18"/>
      <c r="G259" s="18"/>
    </row>
    <row r="260">
      <c r="B260" s="14"/>
      <c r="E260" s="18"/>
      <c r="F260" s="18"/>
      <c r="G260" s="18"/>
    </row>
    <row r="261">
      <c r="B261" s="14"/>
      <c r="E261" s="18"/>
      <c r="F261" s="18"/>
      <c r="G261" s="18"/>
    </row>
    <row r="262">
      <c r="B262" s="14"/>
      <c r="E262" s="18"/>
      <c r="F262" s="18"/>
      <c r="G262" s="18"/>
    </row>
    <row r="263">
      <c r="B263" s="14"/>
      <c r="E263" s="18"/>
      <c r="F263" s="18"/>
      <c r="G263" s="18"/>
    </row>
    <row r="264">
      <c r="B264" s="14"/>
      <c r="E264" s="18"/>
      <c r="F264" s="18"/>
      <c r="G264" s="18"/>
    </row>
    <row r="265">
      <c r="B265" s="14"/>
      <c r="E265" s="18"/>
      <c r="F265" s="18"/>
      <c r="G265" s="18"/>
    </row>
    <row r="266">
      <c r="B266" s="14"/>
      <c r="E266" s="18"/>
      <c r="F266" s="18"/>
      <c r="G266" s="18"/>
    </row>
    <row r="267">
      <c r="B267" s="14"/>
      <c r="E267" s="18"/>
      <c r="F267" s="18"/>
      <c r="G267" s="18"/>
    </row>
    <row r="268">
      <c r="B268" s="14"/>
      <c r="E268" s="18"/>
      <c r="F268" s="18"/>
      <c r="G268" s="18"/>
    </row>
    <row r="269">
      <c r="B269" s="14"/>
      <c r="E269" s="18"/>
      <c r="F269" s="18"/>
      <c r="G269" s="18"/>
    </row>
    <row r="270">
      <c r="B270" s="14"/>
      <c r="E270" s="18"/>
      <c r="F270" s="18"/>
      <c r="G270" s="18"/>
    </row>
    <row r="271">
      <c r="B271" s="14"/>
      <c r="E271" s="18"/>
      <c r="F271" s="18"/>
      <c r="G271" s="18"/>
    </row>
    <row r="272">
      <c r="B272" s="14"/>
      <c r="E272" s="18"/>
      <c r="F272" s="18"/>
      <c r="G272" s="18"/>
    </row>
    <row r="273">
      <c r="B273" s="14"/>
      <c r="E273" s="18"/>
      <c r="F273" s="18"/>
      <c r="G273" s="18"/>
    </row>
    <row r="274">
      <c r="B274" s="14"/>
      <c r="E274" s="18"/>
      <c r="F274" s="18"/>
      <c r="G274" s="18"/>
    </row>
    <row r="275">
      <c r="B275" s="14"/>
      <c r="E275" s="18"/>
      <c r="F275" s="18"/>
      <c r="G275" s="18"/>
    </row>
    <row r="276">
      <c r="B276" s="14"/>
      <c r="E276" s="18"/>
      <c r="F276" s="18"/>
      <c r="G276" s="18"/>
    </row>
    <row r="277">
      <c r="B277" s="14"/>
      <c r="E277" s="18"/>
      <c r="F277" s="18"/>
      <c r="G277" s="18"/>
    </row>
    <row r="278">
      <c r="B278" s="14"/>
      <c r="E278" s="18"/>
      <c r="F278" s="18"/>
      <c r="G278" s="18"/>
    </row>
    <row r="279">
      <c r="B279" s="14"/>
      <c r="E279" s="18"/>
      <c r="F279" s="18"/>
      <c r="G279" s="18"/>
    </row>
    <row r="280">
      <c r="B280" s="14"/>
      <c r="E280" s="18"/>
      <c r="F280" s="18"/>
      <c r="G280" s="18"/>
    </row>
    <row r="281">
      <c r="B281" s="14"/>
      <c r="E281" s="18"/>
      <c r="F281" s="18"/>
      <c r="G281" s="18"/>
    </row>
    <row r="282">
      <c r="B282" s="14"/>
      <c r="E282" s="18"/>
      <c r="F282" s="18"/>
      <c r="G282" s="18"/>
    </row>
    <row r="283">
      <c r="B283" s="14"/>
      <c r="E283" s="18"/>
      <c r="F283" s="18"/>
      <c r="G283" s="18"/>
    </row>
    <row r="284">
      <c r="B284" s="14"/>
      <c r="E284" s="18"/>
      <c r="F284" s="18"/>
      <c r="G284" s="18"/>
    </row>
    <row r="285">
      <c r="B285" s="14"/>
      <c r="E285" s="18"/>
      <c r="F285" s="18"/>
      <c r="G285" s="18"/>
    </row>
    <row r="286">
      <c r="B286" s="14"/>
      <c r="E286" s="18"/>
      <c r="F286" s="18"/>
      <c r="G286" s="18"/>
    </row>
    <row r="287">
      <c r="B287" s="14"/>
      <c r="E287" s="18"/>
      <c r="F287" s="18"/>
      <c r="G287" s="18"/>
    </row>
    <row r="288">
      <c r="B288" s="14"/>
      <c r="E288" s="18"/>
      <c r="F288" s="18"/>
      <c r="G288" s="18"/>
    </row>
    <row r="289">
      <c r="B289" s="14"/>
      <c r="E289" s="18"/>
      <c r="F289" s="18"/>
      <c r="G289" s="18"/>
    </row>
    <row r="290">
      <c r="B290" s="14"/>
      <c r="E290" s="18"/>
      <c r="F290" s="18"/>
      <c r="G290" s="18"/>
    </row>
    <row r="291">
      <c r="B291" s="14"/>
      <c r="E291" s="18"/>
      <c r="F291" s="18"/>
      <c r="G291" s="18"/>
    </row>
    <row r="292">
      <c r="B292" s="14"/>
      <c r="E292" s="18"/>
      <c r="F292" s="18"/>
      <c r="G292" s="18"/>
    </row>
    <row r="293">
      <c r="B293" s="14"/>
      <c r="E293" s="18"/>
      <c r="F293" s="18"/>
      <c r="G293" s="18"/>
    </row>
    <row r="294">
      <c r="B294" s="14"/>
      <c r="E294" s="18"/>
      <c r="F294" s="18"/>
      <c r="G294" s="18"/>
    </row>
    <row r="295">
      <c r="B295" s="14"/>
      <c r="E295" s="18"/>
      <c r="F295" s="18"/>
      <c r="G295" s="18"/>
    </row>
    <row r="296">
      <c r="B296" s="14"/>
      <c r="E296" s="18"/>
      <c r="F296" s="18"/>
      <c r="G296" s="18"/>
    </row>
    <row r="297">
      <c r="B297" s="14"/>
      <c r="E297" s="18"/>
      <c r="F297" s="18"/>
      <c r="G297" s="18"/>
    </row>
    <row r="298">
      <c r="B298" s="14"/>
      <c r="E298" s="18"/>
      <c r="F298" s="18"/>
      <c r="G298" s="18"/>
    </row>
    <row r="299">
      <c r="B299" s="14"/>
      <c r="E299" s="18"/>
      <c r="F299" s="18"/>
      <c r="G299" s="18"/>
    </row>
    <row r="300">
      <c r="B300" s="14"/>
      <c r="E300" s="18"/>
      <c r="F300" s="18"/>
      <c r="G300" s="18"/>
    </row>
    <row r="301">
      <c r="B301" s="14"/>
      <c r="E301" s="18"/>
      <c r="F301" s="18"/>
      <c r="G301" s="18"/>
    </row>
    <row r="302">
      <c r="B302" s="14"/>
      <c r="E302" s="18"/>
      <c r="F302" s="18"/>
      <c r="G302" s="18"/>
    </row>
    <row r="303">
      <c r="B303" s="14"/>
      <c r="E303" s="18"/>
      <c r="F303" s="18"/>
      <c r="G303" s="18"/>
    </row>
    <row r="304">
      <c r="B304" s="14"/>
      <c r="E304" s="18"/>
      <c r="F304" s="18"/>
      <c r="G304" s="18"/>
    </row>
    <row r="305">
      <c r="B305" s="14"/>
      <c r="E305" s="18"/>
      <c r="F305" s="18"/>
      <c r="G305" s="18"/>
    </row>
    <row r="306">
      <c r="B306" s="14"/>
      <c r="E306" s="18"/>
      <c r="F306" s="18"/>
      <c r="G306" s="18"/>
    </row>
    <row r="307">
      <c r="B307" s="14"/>
      <c r="E307" s="18"/>
      <c r="F307" s="18"/>
      <c r="G307" s="18"/>
    </row>
    <row r="308">
      <c r="B308" s="14"/>
      <c r="E308" s="18"/>
      <c r="F308" s="18"/>
      <c r="G308" s="18"/>
    </row>
    <row r="309">
      <c r="B309" s="14"/>
      <c r="E309" s="18"/>
      <c r="F309" s="18"/>
      <c r="G309" s="18"/>
    </row>
    <row r="310">
      <c r="B310" s="14"/>
      <c r="E310" s="18"/>
      <c r="F310" s="18"/>
      <c r="G310" s="18"/>
    </row>
    <row r="311">
      <c r="B311" s="14"/>
      <c r="E311" s="18"/>
      <c r="F311" s="18"/>
      <c r="G311" s="18"/>
    </row>
    <row r="312">
      <c r="B312" s="14"/>
      <c r="E312" s="18"/>
      <c r="F312" s="18"/>
      <c r="G312" s="18"/>
    </row>
    <row r="313">
      <c r="B313" s="14"/>
      <c r="E313" s="18"/>
      <c r="F313" s="18"/>
      <c r="G313" s="18"/>
    </row>
    <row r="314">
      <c r="B314" s="14"/>
      <c r="E314" s="18"/>
      <c r="F314" s="18"/>
      <c r="G314" s="18"/>
    </row>
    <row r="315">
      <c r="B315" s="14"/>
      <c r="E315" s="18"/>
      <c r="F315" s="18"/>
      <c r="G315" s="18"/>
    </row>
    <row r="316">
      <c r="B316" s="14"/>
      <c r="E316" s="18"/>
      <c r="F316" s="18"/>
      <c r="G316" s="18"/>
    </row>
    <row r="317">
      <c r="B317" s="14"/>
      <c r="E317" s="18"/>
      <c r="F317" s="18"/>
      <c r="G317" s="18"/>
    </row>
    <row r="318">
      <c r="B318" s="14"/>
      <c r="E318" s="18"/>
      <c r="F318" s="18"/>
      <c r="G318" s="18"/>
    </row>
    <row r="319">
      <c r="B319" s="14"/>
      <c r="E319" s="18"/>
      <c r="F319" s="18"/>
      <c r="G319" s="18"/>
    </row>
    <row r="320">
      <c r="B320" s="14"/>
      <c r="E320" s="18"/>
      <c r="F320" s="18"/>
      <c r="G320" s="18"/>
    </row>
    <row r="321">
      <c r="B321" s="14"/>
      <c r="E321" s="18"/>
      <c r="F321" s="18"/>
      <c r="G321" s="18"/>
    </row>
    <row r="322">
      <c r="B322" s="14"/>
      <c r="E322" s="18"/>
      <c r="F322" s="18"/>
      <c r="G322" s="18"/>
    </row>
    <row r="323">
      <c r="B323" s="14"/>
      <c r="E323" s="18"/>
      <c r="F323" s="18"/>
      <c r="G323" s="18"/>
    </row>
    <row r="324">
      <c r="B324" s="14"/>
      <c r="E324" s="18"/>
      <c r="F324" s="18"/>
      <c r="G324" s="18"/>
    </row>
    <row r="325">
      <c r="B325" s="14"/>
      <c r="E325" s="18"/>
      <c r="F325" s="18"/>
      <c r="G325" s="18"/>
    </row>
    <row r="326">
      <c r="B326" s="14"/>
      <c r="E326" s="18"/>
      <c r="F326" s="18"/>
      <c r="G326" s="18"/>
    </row>
    <row r="327">
      <c r="B327" s="14"/>
      <c r="E327" s="18"/>
      <c r="F327" s="18"/>
      <c r="G327" s="18"/>
    </row>
    <row r="328">
      <c r="B328" s="14"/>
      <c r="E328" s="18"/>
      <c r="F328" s="18"/>
      <c r="G328" s="18"/>
    </row>
    <row r="329">
      <c r="B329" s="14"/>
      <c r="E329" s="18"/>
      <c r="F329" s="18"/>
      <c r="G329" s="18"/>
    </row>
    <row r="330">
      <c r="B330" s="14"/>
      <c r="E330" s="18"/>
      <c r="F330" s="18"/>
      <c r="G330" s="18"/>
    </row>
    <row r="331">
      <c r="B331" s="14"/>
      <c r="E331" s="18"/>
      <c r="F331" s="18"/>
      <c r="G331" s="18"/>
    </row>
    <row r="332">
      <c r="B332" s="14"/>
      <c r="E332" s="18"/>
      <c r="F332" s="18"/>
      <c r="G332" s="18"/>
    </row>
    <row r="333">
      <c r="B333" s="14"/>
      <c r="E333" s="18"/>
      <c r="F333" s="18"/>
      <c r="G333" s="18"/>
    </row>
    <row r="334">
      <c r="B334" s="14"/>
      <c r="E334" s="18"/>
      <c r="F334" s="18"/>
      <c r="G334" s="18"/>
    </row>
    <row r="335">
      <c r="B335" s="14"/>
      <c r="E335" s="18"/>
      <c r="F335" s="18"/>
      <c r="G335" s="18"/>
    </row>
    <row r="336">
      <c r="B336" s="14"/>
      <c r="E336" s="18"/>
      <c r="F336" s="18"/>
      <c r="G336" s="18"/>
    </row>
    <row r="337">
      <c r="B337" s="14"/>
      <c r="E337" s="18"/>
      <c r="F337" s="18"/>
      <c r="G337" s="18"/>
    </row>
    <row r="338">
      <c r="B338" s="14"/>
      <c r="E338" s="18"/>
      <c r="F338" s="18"/>
      <c r="G338" s="18"/>
    </row>
    <row r="339">
      <c r="B339" s="14"/>
      <c r="E339" s="18"/>
      <c r="F339" s="18"/>
      <c r="G339" s="18"/>
    </row>
    <row r="340">
      <c r="B340" s="14"/>
      <c r="E340" s="18"/>
      <c r="F340" s="18"/>
      <c r="G340" s="18"/>
    </row>
    <row r="341">
      <c r="B341" s="14"/>
      <c r="E341" s="18"/>
      <c r="F341" s="18"/>
      <c r="G341" s="18"/>
    </row>
    <row r="342">
      <c r="B342" s="14"/>
      <c r="E342" s="18"/>
      <c r="F342" s="18"/>
      <c r="G342" s="18"/>
    </row>
    <row r="343">
      <c r="B343" s="14"/>
      <c r="E343" s="18"/>
      <c r="F343" s="18"/>
      <c r="G343" s="18"/>
    </row>
    <row r="344">
      <c r="B344" s="14"/>
      <c r="E344" s="18"/>
      <c r="F344" s="18"/>
      <c r="G344" s="18"/>
    </row>
    <row r="345">
      <c r="B345" s="14"/>
      <c r="E345" s="18"/>
      <c r="F345" s="18"/>
      <c r="G345" s="18"/>
    </row>
    <row r="346">
      <c r="B346" s="14"/>
      <c r="E346" s="18"/>
      <c r="F346" s="18"/>
      <c r="G346" s="18"/>
    </row>
    <row r="347">
      <c r="B347" s="14"/>
      <c r="E347" s="18"/>
      <c r="F347" s="18"/>
      <c r="G347" s="18"/>
    </row>
    <row r="348">
      <c r="B348" s="14"/>
      <c r="E348" s="18"/>
      <c r="F348" s="18"/>
      <c r="G348" s="18"/>
    </row>
    <row r="349">
      <c r="B349" s="14"/>
      <c r="E349" s="18"/>
      <c r="F349" s="18"/>
      <c r="G349" s="18"/>
    </row>
    <row r="350">
      <c r="B350" s="14"/>
      <c r="E350" s="18"/>
      <c r="F350" s="18"/>
      <c r="G350" s="18"/>
    </row>
    <row r="351">
      <c r="B351" s="14"/>
      <c r="E351" s="18"/>
      <c r="F351" s="18"/>
      <c r="G351" s="18"/>
    </row>
    <row r="352">
      <c r="B352" s="14"/>
      <c r="E352" s="18"/>
      <c r="F352" s="18"/>
      <c r="G352" s="18"/>
    </row>
    <row r="353">
      <c r="B353" s="14"/>
      <c r="E353" s="18"/>
      <c r="F353" s="18"/>
      <c r="G353" s="18"/>
    </row>
    <row r="354">
      <c r="B354" s="14"/>
      <c r="E354" s="18"/>
      <c r="F354" s="18"/>
      <c r="G354" s="18"/>
    </row>
    <row r="355">
      <c r="B355" s="14"/>
      <c r="E355" s="18"/>
      <c r="F355" s="18"/>
      <c r="G355" s="18"/>
    </row>
    <row r="356">
      <c r="B356" s="14"/>
      <c r="E356" s="18"/>
      <c r="F356" s="18"/>
      <c r="G356" s="18"/>
    </row>
    <row r="357">
      <c r="B357" s="14"/>
      <c r="E357" s="18"/>
      <c r="F357" s="18"/>
      <c r="G357" s="18"/>
    </row>
    <row r="358">
      <c r="B358" s="14"/>
      <c r="E358" s="18"/>
      <c r="F358" s="18"/>
      <c r="G358" s="18"/>
    </row>
    <row r="359">
      <c r="B359" s="14"/>
      <c r="E359" s="18"/>
      <c r="F359" s="18"/>
      <c r="G359" s="18"/>
    </row>
    <row r="360">
      <c r="B360" s="14"/>
      <c r="E360" s="18"/>
      <c r="F360" s="18"/>
      <c r="G360" s="18"/>
    </row>
    <row r="361">
      <c r="B361" s="14"/>
      <c r="E361" s="18"/>
      <c r="F361" s="18"/>
      <c r="G361" s="18"/>
    </row>
    <row r="362">
      <c r="B362" s="14"/>
      <c r="E362" s="18"/>
      <c r="F362" s="18"/>
      <c r="G362" s="18"/>
    </row>
    <row r="363">
      <c r="B363" s="14"/>
      <c r="E363" s="18"/>
      <c r="F363" s="18"/>
      <c r="G363" s="18"/>
    </row>
    <row r="364">
      <c r="B364" s="14"/>
      <c r="E364" s="18"/>
      <c r="F364" s="18"/>
      <c r="G364" s="18"/>
    </row>
    <row r="365">
      <c r="B365" s="14"/>
      <c r="E365" s="18"/>
      <c r="F365" s="18"/>
      <c r="G365" s="18"/>
    </row>
    <row r="366">
      <c r="B366" s="14"/>
      <c r="E366" s="18"/>
      <c r="F366" s="18"/>
      <c r="G366" s="18"/>
    </row>
    <row r="367">
      <c r="B367" s="14"/>
      <c r="E367" s="18"/>
      <c r="F367" s="18"/>
      <c r="G367" s="18"/>
    </row>
    <row r="368">
      <c r="B368" s="14"/>
      <c r="E368" s="18"/>
      <c r="F368" s="18"/>
      <c r="G368" s="18"/>
    </row>
    <row r="369">
      <c r="B369" s="14"/>
      <c r="E369" s="18"/>
      <c r="F369" s="18"/>
      <c r="G369" s="18"/>
    </row>
    <row r="370">
      <c r="B370" s="14"/>
      <c r="E370" s="18"/>
      <c r="F370" s="18"/>
      <c r="G370" s="18"/>
    </row>
    <row r="371">
      <c r="B371" s="14"/>
      <c r="E371" s="18"/>
      <c r="F371" s="18"/>
      <c r="G371" s="18"/>
    </row>
    <row r="372">
      <c r="B372" s="14"/>
      <c r="E372" s="18"/>
      <c r="F372" s="18"/>
      <c r="G372" s="18"/>
    </row>
    <row r="373">
      <c r="B373" s="14"/>
      <c r="E373" s="18"/>
      <c r="F373" s="18"/>
      <c r="G373" s="18"/>
    </row>
    <row r="374">
      <c r="B374" s="14"/>
      <c r="E374" s="18"/>
      <c r="F374" s="18"/>
      <c r="G374" s="18"/>
    </row>
    <row r="375">
      <c r="B375" s="14"/>
      <c r="E375" s="18"/>
      <c r="F375" s="18"/>
      <c r="G375" s="18"/>
    </row>
    <row r="376">
      <c r="B376" s="14"/>
      <c r="E376" s="18"/>
      <c r="F376" s="18"/>
      <c r="G376" s="18"/>
    </row>
    <row r="377">
      <c r="B377" s="14"/>
      <c r="E377" s="18"/>
      <c r="F377" s="18"/>
      <c r="G377" s="18"/>
    </row>
    <row r="378">
      <c r="B378" s="14"/>
      <c r="E378" s="18"/>
      <c r="F378" s="18"/>
      <c r="G378" s="18"/>
    </row>
    <row r="379">
      <c r="B379" s="14"/>
      <c r="E379" s="18"/>
      <c r="F379" s="18"/>
      <c r="G379" s="18"/>
    </row>
    <row r="380">
      <c r="B380" s="14"/>
      <c r="E380" s="18"/>
      <c r="F380" s="18"/>
      <c r="G380" s="18"/>
    </row>
    <row r="381">
      <c r="B381" s="14"/>
      <c r="E381" s="18"/>
      <c r="F381" s="18"/>
      <c r="G381" s="18"/>
    </row>
    <row r="382">
      <c r="B382" s="14"/>
      <c r="E382" s="18"/>
      <c r="F382" s="18"/>
      <c r="G382" s="18"/>
    </row>
    <row r="383">
      <c r="B383" s="14"/>
      <c r="E383" s="18"/>
      <c r="F383" s="18"/>
      <c r="G383" s="18"/>
    </row>
    <row r="384">
      <c r="B384" s="14"/>
      <c r="E384" s="18"/>
      <c r="F384" s="18"/>
      <c r="G384" s="18"/>
    </row>
    <row r="385">
      <c r="B385" s="14"/>
      <c r="E385" s="18"/>
      <c r="F385" s="18"/>
      <c r="G385" s="18"/>
    </row>
    <row r="386">
      <c r="B386" s="14"/>
      <c r="E386" s="18"/>
      <c r="F386" s="18"/>
      <c r="G386" s="18"/>
    </row>
    <row r="387">
      <c r="B387" s="14"/>
      <c r="E387" s="18"/>
      <c r="F387" s="18"/>
      <c r="G387" s="18"/>
    </row>
    <row r="388">
      <c r="B388" s="14"/>
      <c r="E388" s="18"/>
      <c r="F388" s="18"/>
      <c r="G388" s="18"/>
    </row>
    <row r="389">
      <c r="B389" s="14"/>
      <c r="E389" s="18"/>
      <c r="F389" s="18"/>
      <c r="G389" s="18"/>
    </row>
    <row r="390">
      <c r="B390" s="14"/>
      <c r="E390" s="18"/>
      <c r="F390" s="18"/>
      <c r="G390" s="18"/>
    </row>
    <row r="391">
      <c r="B391" s="14"/>
      <c r="E391" s="18"/>
      <c r="F391" s="18"/>
      <c r="G391" s="18"/>
    </row>
    <row r="392">
      <c r="B392" s="14"/>
      <c r="E392" s="18"/>
      <c r="F392" s="18"/>
      <c r="G392" s="18"/>
    </row>
    <row r="393">
      <c r="B393" s="14"/>
      <c r="E393" s="18"/>
      <c r="F393" s="18"/>
      <c r="G393" s="18"/>
    </row>
    <row r="394">
      <c r="B394" s="14"/>
      <c r="E394" s="18"/>
      <c r="F394" s="18"/>
      <c r="G394" s="18"/>
    </row>
    <row r="395">
      <c r="B395" s="14"/>
      <c r="E395" s="18"/>
      <c r="F395" s="18"/>
      <c r="G395" s="18"/>
    </row>
    <row r="396">
      <c r="B396" s="14"/>
      <c r="E396" s="18"/>
      <c r="F396" s="18"/>
      <c r="G396" s="18"/>
    </row>
    <row r="397">
      <c r="B397" s="14"/>
      <c r="E397" s="18"/>
      <c r="F397" s="18"/>
      <c r="G397" s="18"/>
    </row>
    <row r="398">
      <c r="B398" s="14"/>
      <c r="E398" s="18"/>
      <c r="F398" s="18"/>
      <c r="G398" s="18"/>
    </row>
    <row r="399">
      <c r="B399" s="14"/>
      <c r="E399" s="18"/>
      <c r="F399" s="18"/>
      <c r="G399" s="18"/>
    </row>
    <row r="400">
      <c r="B400" s="14"/>
      <c r="E400" s="18"/>
      <c r="F400" s="18"/>
      <c r="G400" s="18"/>
    </row>
    <row r="401">
      <c r="B401" s="14"/>
      <c r="E401" s="18"/>
      <c r="F401" s="18"/>
      <c r="G401" s="18"/>
    </row>
    <row r="402">
      <c r="B402" s="14"/>
      <c r="E402" s="18"/>
      <c r="F402" s="18"/>
      <c r="G402" s="18"/>
    </row>
    <row r="403">
      <c r="B403" s="14"/>
      <c r="E403" s="18"/>
      <c r="F403" s="18"/>
      <c r="G403" s="18"/>
    </row>
    <row r="404">
      <c r="B404" s="14"/>
      <c r="E404" s="18"/>
      <c r="F404" s="18"/>
      <c r="G404" s="18"/>
    </row>
    <row r="405">
      <c r="B405" s="14"/>
      <c r="E405" s="18"/>
      <c r="F405" s="18"/>
      <c r="G405" s="18"/>
    </row>
    <row r="406">
      <c r="B406" s="14"/>
      <c r="E406" s="18"/>
      <c r="F406" s="18"/>
      <c r="G406" s="18"/>
    </row>
    <row r="407">
      <c r="B407" s="14"/>
      <c r="E407" s="18"/>
      <c r="F407" s="18"/>
      <c r="G407" s="18"/>
    </row>
    <row r="408">
      <c r="B408" s="14"/>
      <c r="E408" s="18"/>
      <c r="F408" s="18"/>
      <c r="G408" s="18"/>
    </row>
    <row r="409">
      <c r="B409" s="14"/>
      <c r="E409" s="18"/>
      <c r="F409" s="18"/>
      <c r="G409" s="18"/>
    </row>
    <row r="410">
      <c r="B410" s="14"/>
      <c r="E410" s="18"/>
      <c r="F410" s="18"/>
      <c r="G410" s="18"/>
    </row>
    <row r="411">
      <c r="B411" s="14"/>
      <c r="E411" s="18"/>
      <c r="F411" s="18"/>
      <c r="G411" s="18"/>
    </row>
    <row r="412">
      <c r="B412" s="14"/>
      <c r="E412" s="18"/>
      <c r="F412" s="18"/>
      <c r="G412" s="18"/>
    </row>
    <row r="413">
      <c r="B413" s="14"/>
      <c r="E413" s="18"/>
      <c r="F413" s="18"/>
      <c r="G413" s="18"/>
    </row>
    <row r="414">
      <c r="B414" s="14"/>
      <c r="E414" s="18"/>
      <c r="F414" s="18"/>
      <c r="G414" s="18"/>
    </row>
    <row r="415">
      <c r="B415" s="14"/>
      <c r="E415" s="18"/>
      <c r="F415" s="18"/>
      <c r="G415" s="18"/>
    </row>
    <row r="416">
      <c r="B416" s="14"/>
      <c r="E416" s="18"/>
      <c r="F416" s="18"/>
      <c r="G416" s="18"/>
    </row>
    <row r="417">
      <c r="B417" s="14"/>
      <c r="E417" s="18"/>
      <c r="F417" s="18"/>
      <c r="G417" s="18"/>
    </row>
    <row r="418">
      <c r="B418" s="14"/>
      <c r="E418" s="18"/>
      <c r="F418" s="18"/>
      <c r="G418" s="18"/>
    </row>
    <row r="419">
      <c r="B419" s="14"/>
      <c r="E419" s="18"/>
      <c r="F419" s="18"/>
      <c r="G419" s="18"/>
    </row>
    <row r="420">
      <c r="B420" s="14"/>
      <c r="E420" s="18"/>
      <c r="F420" s="18"/>
      <c r="G420" s="18"/>
    </row>
    <row r="421">
      <c r="B421" s="14"/>
      <c r="E421" s="18"/>
      <c r="F421" s="18"/>
      <c r="G421" s="18"/>
    </row>
    <row r="422">
      <c r="B422" s="14"/>
      <c r="E422" s="18"/>
      <c r="F422" s="18"/>
      <c r="G422" s="18"/>
    </row>
    <row r="423">
      <c r="B423" s="14"/>
      <c r="E423" s="18"/>
      <c r="F423" s="18"/>
      <c r="G423" s="18"/>
    </row>
    <row r="424">
      <c r="B424" s="14"/>
      <c r="E424" s="18"/>
      <c r="F424" s="18"/>
      <c r="G424" s="18"/>
    </row>
    <row r="425">
      <c r="B425" s="14"/>
      <c r="E425" s="18"/>
      <c r="F425" s="18"/>
      <c r="G425" s="18"/>
    </row>
    <row r="426">
      <c r="B426" s="14"/>
      <c r="E426" s="18"/>
      <c r="F426" s="18"/>
      <c r="G426" s="18"/>
    </row>
    <row r="427">
      <c r="B427" s="14"/>
      <c r="E427" s="18"/>
      <c r="F427" s="18"/>
      <c r="G427" s="18"/>
    </row>
    <row r="428">
      <c r="B428" s="14"/>
      <c r="E428" s="18"/>
      <c r="F428" s="18"/>
      <c r="G428" s="18"/>
    </row>
    <row r="429">
      <c r="B429" s="14"/>
      <c r="E429" s="18"/>
      <c r="F429" s="18"/>
      <c r="G429" s="18"/>
    </row>
    <row r="430">
      <c r="B430" s="14"/>
      <c r="E430" s="18"/>
      <c r="F430" s="18"/>
      <c r="G430" s="18"/>
    </row>
    <row r="431">
      <c r="B431" s="14"/>
      <c r="E431" s="18"/>
      <c r="F431" s="18"/>
      <c r="G431" s="18"/>
    </row>
    <row r="432">
      <c r="B432" s="14"/>
      <c r="E432" s="18"/>
      <c r="F432" s="18"/>
      <c r="G432" s="18"/>
    </row>
    <row r="433">
      <c r="B433" s="14"/>
      <c r="E433" s="18"/>
      <c r="F433" s="18"/>
      <c r="G433" s="18"/>
    </row>
    <row r="434">
      <c r="B434" s="14"/>
      <c r="E434" s="18"/>
      <c r="F434" s="18"/>
      <c r="G434" s="18"/>
    </row>
    <row r="435">
      <c r="B435" s="14"/>
      <c r="E435" s="18"/>
      <c r="F435" s="18"/>
      <c r="G435" s="18"/>
    </row>
    <row r="436">
      <c r="B436" s="14"/>
      <c r="E436" s="18"/>
      <c r="F436" s="18"/>
      <c r="G436" s="18"/>
    </row>
    <row r="437">
      <c r="B437" s="14"/>
      <c r="E437" s="18"/>
      <c r="F437" s="18"/>
      <c r="G437" s="18"/>
    </row>
    <row r="438">
      <c r="B438" s="14"/>
      <c r="E438" s="18"/>
      <c r="F438" s="18"/>
      <c r="G438" s="18"/>
    </row>
    <row r="439">
      <c r="B439" s="14"/>
      <c r="E439" s="18"/>
      <c r="F439" s="18"/>
      <c r="G439" s="18"/>
    </row>
    <row r="440">
      <c r="B440" s="14"/>
      <c r="E440" s="18"/>
      <c r="F440" s="18"/>
      <c r="G440" s="18"/>
    </row>
    <row r="441">
      <c r="B441" s="14"/>
      <c r="E441" s="18"/>
      <c r="F441" s="18"/>
      <c r="G441" s="18"/>
    </row>
    <row r="442">
      <c r="B442" s="14"/>
      <c r="E442" s="18"/>
      <c r="F442" s="18"/>
      <c r="G442" s="18"/>
    </row>
    <row r="443">
      <c r="B443" s="14"/>
      <c r="E443" s="18"/>
      <c r="F443" s="18"/>
      <c r="G443" s="18"/>
    </row>
    <row r="444">
      <c r="B444" s="14"/>
      <c r="E444" s="18"/>
      <c r="F444" s="18"/>
      <c r="G444" s="18"/>
    </row>
    <row r="445">
      <c r="B445" s="14"/>
      <c r="E445" s="18"/>
      <c r="F445" s="18"/>
      <c r="G445" s="18"/>
    </row>
    <row r="446">
      <c r="B446" s="14"/>
      <c r="E446" s="18"/>
      <c r="F446" s="18"/>
      <c r="G446" s="18"/>
    </row>
    <row r="447">
      <c r="B447" s="14"/>
      <c r="E447" s="18"/>
      <c r="F447" s="18"/>
      <c r="G447" s="18"/>
    </row>
    <row r="448">
      <c r="B448" s="14"/>
      <c r="E448" s="18"/>
      <c r="F448" s="18"/>
      <c r="G448" s="18"/>
    </row>
    <row r="449">
      <c r="B449" s="14"/>
      <c r="E449" s="18"/>
      <c r="F449" s="18"/>
      <c r="G449" s="18"/>
    </row>
    <row r="450">
      <c r="B450" s="14"/>
      <c r="E450" s="18"/>
      <c r="F450" s="18"/>
      <c r="G450" s="18"/>
    </row>
    <row r="451">
      <c r="B451" s="14"/>
      <c r="E451" s="18"/>
      <c r="F451" s="18"/>
      <c r="G451" s="18"/>
    </row>
    <row r="452">
      <c r="B452" s="14"/>
      <c r="E452" s="18"/>
      <c r="F452" s="18"/>
      <c r="G452" s="18"/>
    </row>
    <row r="453">
      <c r="B453" s="14"/>
      <c r="E453" s="18"/>
      <c r="F453" s="18"/>
      <c r="G453" s="18"/>
    </row>
    <row r="454">
      <c r="B454" s="14"/>
      <c r="E454" s="18"/>
      <c r="F454" s="18"/>
      <c r="G454" s="18"/>
    </row>
    <row r="455">
      <c r="B455" s="14"/>
      <c r="E455" s="18"/>
      <c r="F455" s="18"/>
      <c r="G455" s="18"/>
    </row>
    <row r="456">
      <c r="B456" s="14"/>
      <c r="E456" s="18"/>
      <c r="F456" s="18"/>
      <c r="G456" s="18"/>
    </row>
    <row r="457">
      <c r="B457" s="14"/>
      <c r="E457" s="18"/>
      <c r="F457" s="18"/>
      <c r="G457" s="18"/>
    </row>
    <row r="458">
      <c r="B458" s="14"/>
      <c r="E458" s="18"/>
      <c r="F458" s="18"/>
      <c r="G458" s="18"/>
    </row>
    <row r="459">
      <c r="B459" s="14"/>
      <c r="E459" s="18"/>
      <c r="F459" s="18"/>
      <c r="G459" s="18"/>
    </row>
    <row r="460">
      <c r="B460" s="14"/>
      <c r="E460" s="18"/>
      <c r="F460" s="18"/>
      <c r="G460" s="18"/>
    </row>
    <row r="461">
      <c r="B461" s="14"/>
      <c r="E461" s="18"/>
      <c r="F461" s="18"/>
      <c r="G461" s="18"/>
    </row>
    <row r="462">
      <c r="B462" s="14"/>
      <c r="E462" s="18"/>
      <c r="F462" s="18"/>
      <c r="G462" s="18"/>
    </row>
    <row r="463">
      <c r="B463" s="14"/>
      <c r="E463" s="18"/>
      <c r="F463" s="18"/>
      <c r="G463" s="18"/>
    </row>
    <row r="464">
      <c r="B464" s="14"/>
      <c r="E464" s="18"/>
      <c r="F464" s="18"/>
      <c r="G464" s="18"/>
    </row>
    <row r="465">
      <c r="B465" s="14"/>
      <c r="E465" s="18"/>
      <c r="F465" s="18"/>
      <c r="G465" s="18"/>
    </row>
    <row r="466">
      <c r="B466" s="14"/>
      <c r="E466" s="18"/>
      <c r="F466" s="18"/>
      <c r="G466" s="18"/>
    </row>
    <row r="467">
      <c r="B467" s="14"/>
      <c r="E467" s="18"/>
      <c r="F467" s="18"/>
      <c r="G467" s="18"/>
    </row>
    <row r="468">
      <c r="B468" s="14"/>
      <c r="E468" s="18"/>
      <c r="F468" s="18"/>
      <c r="G468" s="18"/>
    </row>
    <row r="469">
      <c r="B469" s="14"/>
      <c r="E469" s="18"/>
      <c r="F469" s="18"/>
      <c r="G469" s="18"/>
    </row>
    <row r="470">
      <c r="B470" s="14"/>
      <c r="E470" s="18"/>
      <c r="F470" s="18"/>
      <c r="G470" s="18"/>
    </row>
    <row r="471">
      <c r="B471" s="14"/>
      <c r="E471" s="18"/>
      <c r="F471" s="18"/>
      <c r="G471" s="18"/>
    </row>
    <row r="472">
      <c r="B472" s="14"/>
      <c r="E472" s="18"/>
      <c r="F472" s="18"/>
      <c r="G472" s="18"/>
    </row>
    <row r="473">
      <c r="B473" s="14"/>
      <c r="E473" s="18"/>
      <c r="F473" s="18"/>
      <c r="G473" s="18"/>
    </row>
    <row r="474">
      <c r="B474" s="14"/>
      <c r="E474" s="18"/>
      <c r="F474" s="18"/>
      <c r="G474" s="18"/>
    </row>
    <row r="475">
      <c r="B475" s="14"/>
      <c r="E475" s="18"/>
      <c r="F475" s="18"/>
      <c r="G475" s="18"/>
    </row>
    <row r="476">
      <c r="B476" s="14"/>
      <c r="E476" s="18"/>
      <c r="F476" s="18"/>
      <c r="G476" s="18"/>
    </row>
    <row r="477">
      <c r="B477" s="14"/>
      <c r="E477" s="18"/>
      <c r="F477" s="18"/>
      <c r="G477" s="18"/>
    </row>
    <row r="478">
      <c r="B478" s="14"/>
      <c r="E478" s="18"/>
      <c r="F478" s="18"/>
      <c r="G478" s="18"/>
    </row>
    <row r="479">
      <c r="B479" s="14"/>
      <c r="E479" s="18"/>
      <c r="F479" s="18"/>
      <c r="G479" s="18"/>
    </row>
    <row r="480">
      <c r="B480" s="14"/>
      <c r="E480" s="18"/>
      <c r="F480" s="18"/>
      <c r="G480" s="18"/>
    </row>
    <row r="481">
      <c r="B481" s="14"/>
      <c r="E481" s="18"/>
      <c r="F481" s="18"/>
      <c r="G481" s="18"/>
    </row>
    <row r="482">
      <c r="B482" s="14"/>
      <c r="E482" s="18"/>
      <c r="F482" s="18"/>
      <c r="G482" s="18"/>
    </row>
    <row r="483">
      <c r="B483" s="14"/>
      <c r="E483" s="18"/>
      <c r="F483" s="18"/>
      <c r="G483" s="18"/>
    </row>
    <row r="484">
      <c r="B484" s="14"/>
      <c r="E484" s="18"/>
      <c r="F484" s="18"/>
      <c r="G484" s="18"/>
    </row>
    <row r="485">
      <c r="B485" s="14"/>
      <c r="E485" s="18"/>
      <c r="F485" s="18"/>
      <c r="G485" s="18"/>
    </row>
    <row r="486">
      <c r="B486" s="14"/>
      <c r="E486" s="18"/>
      <c r="F486" s="18"/>
      <c r="G486" s="18"/>
    </row>
    <row r="487">
      <c r="B487" s="14"/>
      <c r="E487" s="18"/>
      <c r="F487" s="18"/>
      <c r="G487" s="18"/>
    </row>
    <row r="488">
      <c r="B488" s="14"/>
      <c r="E488" s="18"/>
      <c r="F488" s="18"/>
      <c r="G488" s="18"/>
    </row>
    <row r="489">
      <c r="B489" s="14"/>
      <c r="E489" s="18"/>
      <c r="F489" s="18"/>
      <c r="G489" s="18"/>
    </row>
    <row r="490">
      <c r="B490" s="14"/>
      <c r="E490" s="18"/>
      <c r="F490" s="18"/>
      <c r="G490" s="18"/>
    </row>
    <row r="491">
      <c r="B491" s="14"/>
      <c r="E491" s="18"/>
      <c r="F491" s="18"/>
      <c r="G491" s="18"/>
    </row>
    <row r="492">
      <c r="B492" s="14"/>
      <c r="E492" s="18"/>
      <c r="F492" s="18"/>
      <c r="G492" s="18"/>
    </row>
    <row r="493">
      <c r="B493" s="14"/>
      <c r="E493" s="18"/>
      <c r="F493" s="18"/>
      <c r="G493" s="18"/>
    </row>
    <row r="494">
      <c r="B494" s="14"/>
      <c r="E494" s="18"/>
      <c r="F494" s="18"/>
      <c r="G494" s="18"/>
    </row>
    <row r="495">
      <c r="B495" s="14"/>
      <c r="E495" s="18"/>
      <c r="F495" s="18"/>
      <c r="G495" s="18"/>
    </row>
    <row r="496">
      <c r="B496" s="14"/>
      <c r="E496" s="18"/>
      <c r="F496" s="18"/>
      <c r="G496" s="18"/>
    </row>
    <row r="497">
      <c r="B497" s="14"/>
      <c r="E497" s="18"/>
      <c r="F497" s="18"/>
      <c r="G497" s="18"/>
    </row>
    <row r="498">
      <c r="B498" s="14"/>
      <c r="E498" s="18"/>
      <c r="F498" s="18"/>
      <c r="G498" s="18"/>
    </row>
    <row r="499">
      <c r="B499" s="14"/>
      <c r="E499" s="18"/>
      <c r="F499" s="18"/>
      <c r="G499" s="18"/>
    </row>
    <row r="500">
      <c r="B500" s="14"/>
      <c r="E500" s="18"/>
      <c r="F500" s="18"/>
      <c r="G500" s="18"/>
    </row>
    <row r="501">
      <c r="B501" s="14"/>
      <c r="E501" s="18"/>
      <c r="F501" s="18"/>
      <c r="G501" s="18"/>
    </row>
    <row r="502">
      <c r="B502" s="14"/>
      <c r="E502" s="18"/>
      <c r="F502" s="18"/>
      <c r="G502" s="18"/>
    </row>
    <row r="503">
      <c r="B503" s="14"/>
      <c r="E503" s="18"/>
      <c r="F503" s="18"/>
      <c r="G503" s="18"/>
    </row>
    <row r="504">
      <c r="B504" s="14"/>
      <c r="E504" s="18"/>
      <c r="F504" s="18"/>
      <c r="G504" s="18"/>
    </row>
    <row r="505">
      <c r="B505" s="14"/>
      <c r="E505" s="18"/>
      <c r="F505" s="18"/>
      <c r="G505" s="18"/>
    </row>
    <row r="506">
      <c r="B506" s="14"/>
      <c r="E506" s="18"/>
      <c r="F506" s="18"/>
      <c r="G506" s="18"/>
    </row>
    <row r="507">
      <c r="B507" s="14"/>
      <c r="E507" s="18"/>
      <c r="F507" s="18"/>
      <c r="G507" s="18"/>
    </row>
    <row r="508">
      <c r="B508" s="14"/>
      <c r="E508" s="18"/>
      <c r="F508" s="18"/>
      <c r="G508" s="18"/>
    </row>
    <row r="509">
      <c r="B509" s="14"/>
      <c r="E509" s="18"/>
      <c r="F509" s="18"/>
      <c r="G509" s="18"/>
    </row>
    <row r="510">
      <c r="B510" s="14"/>
      <c r="E510" s="18"/>
      <c r="F510" s="18"/>
      <c r="G510" s="18"/>
    </row>
    <row r="511">
      <c r="B511" s="14"/>
      <c r="E511" s="18"/>
      <c r="F511" s="18"/>
      <c r="G511" s="18"/>
    </row>
    <row r="512">
      <c r="B512" s="14"/>
      <c r="E512" s="18"/>
      <c r="F512" s="18"/>
      <c r="G512" s="18"/>
    </row>
    <row r="513">
      <c r="B513" s="14"/>
      <c r="E513" s="18"/>
      <c r="F513" s="18"/>
      <c r="G513" s="18"/>
    </row>
    <row r="514">
      <c r="B514" s="14"/>
      <c r="E514" s="18"/>
      <c r="F514" s="18"/>
      <c r="G514" s="18"/>
    </row>
    <row r="515">
      <c r="B515" s="14"/>
      <c r="E515" s="18"/>
      <c r="F515" s="18"/>
      <c r="G515" s="18"/>
    </row>
    <row r="516">
      <c r="B516" s="14"/>
      <c r="E516" s="18"/>
      <c r="F516" s="18"/>
      <c r="G516" s="18"/>
    </row>
    <row r="517">
      <c r="B517" s="14"/>
      <c r="E517" s="18"/>
      <c r="F517" s="18"/>
      <c r="G517" s="18"/>
    </row>
    <row r="518">
      <c r="B518" s="14"/>
      <c r="E518" s="18"/>
      <c r="F518" s="18"/>
      <c r="G518" s="18"/>
    </row>
    <row r="519">
      <c r="B519" s="14"/>
      <c r="E519" s="18"/>
      <c r="F519" s="18"/>
      <c r="G519" s="18"/>
    </row>
    <row r="520">
      <c r="B520" s="14"/>
      <c r="E520" s="18"/>
      <c r="F520" s="18"/>
      <c r="G520" s="18"/>
    </row>
    <row r="521">
      <c r="B521" s="14"/>
      <c r="E521" s="18"/>
      <c r="F521" s="18"/>
      <c r="G521" s="18"/>
    </row>
    <row r="522">
      <c r="B522" s="14"/>
      <c r="E522" s="18"/>
      <c r="F522" s="18"/>
      <c r="G522" s="18"/>
    </row>
    <row r="523">
      <c r="B523" s="14"/>
      <c r="E523" s="18"/>
      <c r="F523" s="18"/>
      <c r="G523" s="18"/>
    </row>
    <row r="524">
      <c r="B524" s="14"/>
      <c r="E524" s="18"/>
      <c r="F524" s="18"/>
      <c r="G524" s="18"/>
    </row>
    <row r="525">
      <c r="B525" s="14"/>
      <c r="E525" s="18"/>
      <c r="F525" s="18"/>
      <c r="G525" s="18"/>
    </row>
    <row r="526">
      <c r="B526" s="14"/>
      <c r="E526" s="18"/>
      <c r="F526" s="18"/>
      <c r="G526" s="18"/>
    </row>
    <row r="527">
      <c r="B527" s="14"/>
      <c r="E527" s="18"/>
      <c r="F527" s="18"/>
      <c r="G527" s="18"/>
    </row>
    <row r="528">
      <c r="B528" s="14"/>
      <c r="E528" s="18"/>
      <c r="F528" s="18"/>
      <c r="G528" s="18"/>
    </row>
    <row r="529">
      <c r="B529" s="14"/>
      <c r="E529" s="18"/>
      <c r="F529" s="18"/>
      <c r="G529" s="18"/>
    </row>
    <row r="530">
      <c r="B530" s="14"/>
      <c r="E530" s="18"/>
      <c r="F530" s="18"/>
      <c r="G530" s="18"/>
    </row>
    <row r="531">
      <c r="B531" s="14"/>
      <c r="E531" s="18"/>
      <c r="F531" s="18"/>
      <c r="G531" s="18"/>
    </row>
    <row r="532">
      <c r="B532" s="14"/>
      <c r="E532" s="18"/>
      <c r="F532" s="18"/>
      <c r="G532" s="18"/>
    </row>
    <row r="533">
      <c r="B533" s="14"/>
      <c r="E533" s="18"/>
      <c r="F533" s="18"/>
      <c r="G533" s="18"/>
    </row>
    <row r="534">
      <c r="B534" s="14"/>
      <c r="E534" s="18"/>
      <c r="F534" s="18"/>
      <c r="G534" s="18"/>
    </row>
    <row r="535">
      <c r="B535" s="14"/>
      <c r="E535" s="18"/>
      <c r="F535" s="18"/>
      <c r="G535" s="18"/>
    </row>
    <row r="536">
      <c r="B536" s="14"/>
      <c r="E536" s="18"/>
      <c r="F536" s="18"/>
      <c r="G536" s="18"/>
    </row>
    <row r="537">
      <c r="B537" s="14"/>
      <c r="E537" s="18"/>
      <c r="F537" s="18"/>
      <c r="G537" s="18"/>
    </row>
    <row r="538">
      <c r="B538" s="14"/>
      <c r="E538" s="18"/>
      <c r="F538" s="18"/>
      <c r="G538" s="18"/>
    </row>
    <row r="539">
      <c r="B539" s="14"/>
      <c r="E539" s="18"/>
      <c r="F539" s="18"/>
      <c r="G539" s="18"/>
    </row>
    <row r="540">
      <c r="B540" s="14"/>
      <c r="E540" s="18"/>
      <c r="F540" s="18"/>
      <c r="G540" s="18"/>
    </row>
    <row r="541">
      <c r="B541" s="14"/>
      <c r="E541" s="18"/>
      <c r="F541" s="18"/>
      <c r="G541" s="18"/>
    </row>
    <row r="542">
      <c r="B542" s="14"/>
      <c r="E542" s="18"/>
      <c r="F542" s="18"/>
      <c r="G542" s="18"/>
    </row>
    <row r="543">
      <c r="B543" s="14"/>
      <c r="E543" s="18"/>
      <c r="F543" s="18"/>
      <c r="G543" s="18"/>
    </row>
    <row r="544">
      <c r="B544" s="14"/>
      <c r="E544" s="18"/>
      <c r="F544" s="18"/>
      <c r="G544" s="18"/>
    </row>
    <row r="545">
      <c r="B545" s="14"/>
      <c r="E545" s="18"/>
      <c r="F545" s="18"/>
      <c r="G545" s="18"/>
    </row>
    <row r="546">
      <c r="B546" s="14"/>
      <c r="E546" s="18"/>
      <c r="F546" s="18"/>
      <c r="G546" s="18"/>
    </row>
    <row r="547">
      <c r="B547" s="14"/>
      <c r="E547" s="18"/>
      <c r="F547" s="18"/>
      <c r="G547" s="18"/>
    </row>
    <row r="548">
      <c r="B548" s="14"/>
      <c r="E548" s="18"/>
      <c r="F548" s="18"/>
      <c r="G548" s="18"/>
    </row>
    <row r="549">
      <c r="B549" s="14"/>
      <c r="E549" s="18"/>
      <c r="F549" s="18"/>
      <c r="G549" s="18"/>
    </row>
    <row r="550">
      <c r="B550" s="14"/>
      <c r="E550" s="18"/>
      <c r="F550" s="18"/>
      <c r="G550" s="18"/>
    </row>
    <row r="551">
      <c r="B551" s="14"/>
      <c r="E551" s="18"/>
      <c r="F551" s="18"/>
      <c r="G551" s="18"/>
    </row>
    <row r="552">
      <c r="B552" s="14"/>
      <c r="E552" s="18"/>
      <c r="F552" s="18"/>
      <c r="G552" s="18"/>
    </row>
    <row r="553">
      <c r="B553" s="14"/>
      <c r="E553" s="18"/>
      <c r="F553" s="18"/>
      <c r="G553" s="18"/>
    </row>
    <row r="554">
      <c r="B554" s="14"/>
      <c r="E554" s="18"/>
      <c r="F554" s="18"/>
      <c r="G554" s="18"/>
    </row>
    <row r="555">
      <c r="B555" s="14"/>
      <c r="E555" s="18"/>
      <c r="F555" s="18"/>
      <c r="G555" s="18"/>
    </row>
    <row r="556">
      <c r="B556" s="14"/>
      <c r="E556" s="18"/>
      <c r="F556" s="18"/>
      <c r="G556" s="18"/>
    </row>
    <row r="557">
      <c r="B557" s="14"/>
      <c r="E557" s="18"/>
      <c r="F557" s="18"/>
      <c r="G557" s="18"/>
    </row>
    <row r="558">
      <c r="B558" s="14"/>
      <c r="E558" s="18"/>
      <c r="F558" s="18"/>
      <c r="G558" s="18"/>
    </row>
    <row r="559">
      <c r="B559" s="14"/>
      <c r="E559" s="18"/>
      <c r="F559" s="18"/>
      <c r="G559" s="18"/>
    </row>
    <row r="560">
      <c r="B560" s="14"/>
      <c r="E560" s="18"/>
      <c r="F560" s="18"/>
      <c r="G560" s="18"/>
    </row>
    <row r="561">
      <c r="B561" s="14"/>
      <c r="E561" s="18"/>
      <c r="F561" s="18"/>
      <c r="G561" s="18"/>
    </row>
    <row r="562">
      <c r="B562" s="14"/>
      <c r="E562" s="18"/>
      <c r="F562" s="18"/>
      <c r="G562" s="18"/>
    </row>
    <row r="563">
      <c r="B563" s="14"/>
      <c r="E563" s="18"/>
      <c r="F563" s="18"/>
      <c r="G563" s="18"/>
    </row>
    <row r="564">
      <c r="B564" s="14"/>
      <c r="E564" s="18"/>
      <c r="F564" s="18"/>
      <c r="G564" s="18"/>
    </row>
    <row r="565">
      <c r="B565" s="14"/>
      <c r="E565" s="18"/>
      <c r="F565" s="18"/>
      <c r="G565" s="18"/>
    </row>
    <row r="566">
      <c r="B566" s="14"/>
      <c r="E566" s="18"/>
      <c r="F566" s="18"/>
      <c r="G566" s="18"/>
    </row>
    <row r="567">
      <c r="B567" s="14"/>
      <c r="E567" s="18"/>
      <c r="F567" s="18"/>
      <c r="G567" s="18"/>
    </row>
    <row r="568">
      <c r="B568" s="14"/>
      <c r="E568" s="18"/>
      <c r="F568" s="18"/>
      <c r="G568" s="18"/>
    </row>
    <row r="569">
      <c r="B569" s="14"/>
      <c r="E569" s="18"/>
      <c r="F569" s="18"/>
      <c r="G569" s="18"/>
    </row>
    <row r="570">
      <c r="B570" s="14"/>
      <c r="E570" s="18"/>
      <c r="F570" s="18"/>
      <c r="G570" s="18"/>
    </row>
    <row r="571">
      <c r="B571" s="14"/>
      <c r="E571" s="18"/>
      <c r="F571" s="18"/>
      <c r="G571" s="18"/>
    </row>
    <row r="572">
      <c r="B572" s="14"/>
      <c r="E572" s="18"/>
      <c r="F572" s="18"/>
      <c r="G572" s="18"/>
    </row>
    <row r="573">
      <c r="B573" s="14"/>
      <c r="E573" s="18"/>
      <c r="F573" s="18"/>
      <c r="G573" s="18"/>
    </row>
    <row r="574">
      <c r="B574" s="14"/>
      <c r="E574" s="18"/>
      <c r="F574" s="18"/>
      <c r="G574" s="18"/>
    </row>
    <row r="575">
      <c r="B575" s="14"/>
      <c r="E575" s="18"/>
      <c r="F575" s="18"/>
      <c r="G575" s="18"/>
    </row>
    <row r="576">
      <c r="B576" s="14"/>
      <c r="E576" s="18"/>
      <c r="F576" s="18"/>
      <c r="G576" s="18"/>
    </row>
    <row r="577">
      <c r="B577" s="14"/>
      <c r="E577" s="18"/>
      <c r="F577" s="18"/>
      <c r="G577" s="18"/>
    </row>
    <row r="578">
      <c r="B578" s="14"/>
      <c r="E578" s="18"/>
      <c r="F578" s="18"/>
      <c r="G578" s="18"/>
    </row>
    <row r="579">
      <c r="B579" s="14"/>
      <c r="E579" s="18"/>
      <c r="F579" s="18"/>
      <c r="G579" s="18"/>
    </row>
    <row r="580">
      <c r="B580" s="14"/>
      <c r="E580" s="18"/>
      <c r="F580" s="18"/>
      <c r="G580" s="18"/>
    </row>
    <row r="581">
      <c r="B581" s="14"/>
      <c r="E581" s="18"/>
      <c r="F581" s="18"/>
      <c r="G581" s="18"/>
    </row>
    <row r="582">
      <c r="B582" s="14"/>
      <c r="E582" s="18"/>
      <c r="F582" s="18"/>
      <c r="G582" s="18"/>
    </row>
    <row r="583">
      <c r="B583" s="14"/>
      <c r="E583" s="18"/>
      <c r="F583" s="18"/>
      <c r="G583" s="18"/>
    </row>
    <row r="584">
      <c r="B584" s="14"/>
      <c r="E584" s="18"/>
      <c r="F584" s="18"/>
      <c r="G584" s="18"/>
    </row>
    <row r="585">
      <c r="B585" s="14"/>
      <c r="E585" s="18"/>
      <c r="F585" s="18"/>
      <c r="G585" s="18"/>
    </row>
    <row r="586">
      <c r="B586" s="14"/>
      <c r="E586" s="18"/>
      <c r="F586" s="18"/>
      <c r="G586" s="18"/>
    </row>
    <row r="587">
      <c r="B587" s="14"/>
      <c r="E587" s="18"/>
      <c r="F587" s="18"/>
      <c r="G587" s="18"/>
    </row>
    <row r="588">
      <c r="B588" s="14"/>
      <c r="E588" s="18"/>
      <c r="F588" s="18"/>
      <c r="G588" s="18"/>
    </row>
    <row r="589">
      <c r="B589" s="14"/>
      <c r="E589" s="18"/>
      <c r="F589" s="18"/>
      <c r="G589" s="18"/>
    </row>
    <row r="590">
      <c r="B590" s="14"/>
      <c r="E590" s="18"/>
      <c r="F590" s="18"/>
      <c r="G590" s="18"/>
    </row>
    <row r="591">
      <c r="B591" s="14"/>
      <c r="E591" s="18"/>
      <c r="F591" s="18"/>
      <c r="G591" s="18"/>
    </row>
    <row r="592">
      <c r="B592" s="14"/>
      <c r="E592" s="18"/>
      <c r="F592" s="18"/>
      <c r="G592" s="18"/>
    </row>
    <row r="593">
      <c r="B593" s="14"/>
      <c r="E593" s="18"/>
      <c r="F593" s="18"/>
      <c r="G593" s="18"/>
    </row>
    <row r="594">
      <c r="B594" s="14"/>
      <c r="E594" s="18"/>
      <c r="F594" s="18"/>
      <c r="G594" s="18"/>
    </row>
    <row r="595">
      <c r="B595" s="14"/>
      <c r="E595" s="18"/>
      <c r="F595" s="18"/>
      <c r="G595" s="18"/>
    </row>
    <row r="596">
      <c r="B596" s="14"/>
      <c r="E596" s="18"/>
      <c r="F596" s="18"/>
      <c r="G596" s="18"/>
    </row>
    <row r="597">
      <c r="B597" s="14"/>
      <c r="E597" s="18"/>
      <c r="F597" s="18"/>
      <c r="G597" s="18"/>
    </row>
    <row r="598">
      <c r="B598" s="14"/>
      <c r="E598" s="18"/>
      <c r="F598" s="18"/>
      <c r="G598" s="18"/>
    </row>
    <row r="599">
      <c r="B599" s="14"/>
      <c r="E599" s="18"/>
      <c r="F599" s="18"/>
      <c r="G599" s="18"/>
    </row>
    <row r="600">
      <c r="B600" s="14"/>
      <c r="E600" s="18"/>
      <c r="F600" s="18"/>
      <c r="G600" s="18"/>
    </row>
    <row r="601">
      <c r="B601" s="14"/>
      <c r="E601" s="18"/>
      <c r="F601" s="18"/>
      <c r="G601" s="18"/>
    </row>
    <row r="602">
      <c r="B602" s="14"/>
      <c r="E602" s="18"/>
      <c r="F602" s="18"/>
      <c r="G602" s="18"/>
    </row>
    <row r="603">
      <c r="B603" s="14"/>
      <c r="E603" s="18"/>
      <c r="F603" s="18"/>
      <c r="G603" s="18"/>
    </row>
    <row r="604">
      <c r="B604" s="14"/>
      <c r="E604" s="18"/>
      <c r="F604" s="18"/>
      <c r="G604" s="18"/>
    </row>
    <row r="605">
      <c r="B605" s="14"/>
      <c r="E605" s="18"/>
      <c r="F605" s="18"/>
      <c r="G605" s="18"/>
    </row>
    <row r="606">
      <c r="B606" s="14"/>
      <c r="E606" s="18"/>
      <c r="F606" s="18"/>
      <c r="G606" s="18"/>
    </row>
    <row r="607">
      <c r="B607" s="14"/>
      <c r="E607" s="18"/>
      <c r="F607" s="18"/>
      <c r="G607" s="18"/>
    </row>
    <row r="608">
      <c r="B608" s="14"/>
      <c r="E608" s="18"/>
      <c r="F608" s="18"/>
      <c r="G608" s="18"/>
    </row>
    <row r="609">
      <c r="B609" s="14"/>
      <c r="E609" s="18"/>
      <c r="F609" s="18"/>
      <c r="G609" s="18"/>
    </row>
    <row r="610">
      <c r="B610" s="14"/>
      <c r="E610" s="18"/>
      <c r="F610" s="18"/>
      <c r="G610" s="18"/>
    </row>
    <row r="611">
      <c r="B611" s="14"/>
      <c r="E611" s="18"/>
      <c r="F611" s="18"/>
      <c r="G611" s="18"/>
    </row>
    <row r="612">
      <c r="B612" s="14"/>
      <c r="E612" s="18"/>
      <c r="F612" s="18"/>
      <c r="G612" s="18"/>
    </row>
    <row r="613">
      <c r="B613" s="14"/>
      <c r="E613" s="18"/>
      <c r="F613" s="18"/>
      <c r="G613" s="18"/>
    </row>
    <row r="614">
      <c r="B614" s="14"/>
      <c r="E614" s="18"/>
      <c r="F614" s="18"/>
      <c r="G614" s="18"/>
    </row>
    <row r="615">
      <c r="B615" s="14"/>
      <c r="E615" s="18"/>
      <c r="F615" s="18"/>
      <c r="G615" s="18"/>
    </row>
    <row r="616">
      <c r="B616" s="14"/>
      <c r="E616" s="18"/>
      <c r="F616" s="18"/>
      <c r="G616" s="18"/>
    </row>
    <row r="617">
      <c r="B617" s="14"/>
      <c r="E617" s="18"/>
      <c r="F617" s="18"/>
      <c r="G617" s="18"/>
    </row>
    <row r="618">
      <c r="B618" s="14"/>
      <c r="E618" s="18"/>
      <c r="F618" s="18"/>
      <c r="G618" s="18"/>
    </row>
    <row r="619">
      <c r="B619" s="14"/>
      <c r="E619" s="18"/>
      <c r="F619" s="18"/>
      <c r="G619" s="18"/>
    </row>
    <row r="620">
      <c r="B620" s="14"/>
      <c r="E620" s="18"/>
      <c r="F620" s="18"/>
      <c r="G620" s="18"/>
    </row>
    <row r="621">
      <c r="B621" s="14"/>
      <c r="E621" s="18"/>
      <c r="F621" s="18"/>
      <c r="G621" s="18"/>
    </row>
    <row r="622">
      <c r="B622" s="14"/>
      <c r="E622" s="18"/>
      <c r="F622" s="18"/>
      <c r="G622" s="18"/>
    </row>
    <row r="623">
      <c r="B623" s="14"/>
      <c r="E623" s="18"/>
      <c r="F623" s="18"/>
      <c r="G623" s="18"/>
    </row>
    <row r="624">
      <c r="B624" s="14"/>
      <c r="E624" s="18"/>
      <c r="F624" s="18"/>
      <c r="G624" s="18"/>
    </row>
    <row r="625">
      <c r="B625" s="14"/>
      <c r="E625" s="18"/>
      <c r="F625" s="18"/>
      <c r="G625" s="18"/>
    </row>
    <row r="626">
      <c r="B626" s="14"/>
      <c r="E626" s="18"/>
      <c r="F626" s="18"/>
      <c r="G626" s="18"/>
    </row>
    <row r="627">
      <c r="B627" s="14"/>
      <c r="E627" s="18"/>
      <c r="F627" s="18"/>
      <c r="G627" s="18"/>
    </row>
    <row r="628">
      <c r="B628" s="14"/>
      <c r="E628" s="18"/>
      <c r="F628" s="18"/>
      <c r="G628" s="18"/>
    </row>
    <row r="629">
      <c r="B629" s="14"/>
      <c r="E629" s="18"/>
      <c r="F629" s="18"/>
      <c r="G629" s="18"/>
    </row>
    <row r="630">
      <c r="B630" s="14"/>
      <c r="E630" s="18"/>
      <c r="F630" s="18"/>
      <c r="G630" s="18"/>
    </row>
    <row r="631">
      <c r="B631" s="14"/>
      <c r="E631" s="18"/>
      <c r="F631" s="18"/>
      <c r="G631" s="18"/>
    </row>
    <row r="632">
      <c r="B632" s="14"/>
      <c r="E632" s="18"/>
      <c r="F632" s="18"/>
      <c r="G632" s="18"/>
    </row>
    <row r="633">
      <c r="B633" s="14"/>
      <c r="E633" s="18"/>
      <c r="F633" s="18"/>
      <c r="G633" s="18"/>
    </row>
    <row r="634">
      <c r="B634" s="14"/>
      <c r="E634" s="18"/>
      <c r="F634" s="18"/>
      <c r="G634" s="18"/>
    </row>
    <row r="635">
      <c r="B635" s="14"/>
      <c r="E635" s="18"/>
      <c r="F635" s="18"/>
      <c r="G635" s="18"/>
    </row>
    <row r="636">
      <c r="B636" s="14"/>
      <c r="E636" s="18"/>
      <c r="F636" s="18"/>
      <c r="G636" s="18"/>
    </row>
    <row r="637">
      <c r="B637" s="14"/>
      <c r="E637" s="18"/>
      <c r="F637" s="18"/>
      <c r="G637" s="18"/>
    </row>
    <row r="638">
      <c r="B638" s="14"/>
      <c r="E638" s="18"/>
      <c r="F638" s="18"/>
      <c r="G638" s="18"/>
    </row>
    <row r="639">
      <c r="B639" s="14"/>
      <c r="E639" s="18"/>
      <c r="F639" s="18"/>
      <c r="G639" s="18"/>
    </row>
    <row r="640">
      <c r="B640" s="14"/>
      <c r="E640" s="18"/>
      <c r="F640" s="18"/>
      <c r="G640" s="18"/>
    </row>
    <row r="641">
      <c r="B641" s="14"/>
      <c r="E641" s="18"/>
      <c r="F641" s="18"/>
      <c r="G641" s="18"/>
    </row>
    <row r="642">
      <c r="B642" s="14"/>
      <c r="E642" s="18"/>
      <c r="F642" s="18"/>
      <c r="G642" s="18"/>
    </row>
    <row r="643">
      <c r="B643" s="14"/>
      <c r="E643" s="18"/>
      <c r="F643" s="18"/>
      <c r="G643" s="18"/>
    </row>
    <row r="644">
      <c r="B644" s="14"/>
      <c r="E644" s="18"/>
      <c r="F644" s="18"/>
      <c r="G644" s="18"/>
    </row>
    <row r="645">
      <c r="B645" s="14"/>
      <c r="E645" s="18"/>
      <c r="F645" s="18"/>
      <c r="G645" s="18"/>
    </row>
    <row r="646">
      <c r="B646" s="14"/>
      <c r="E646" s="18"/>
      <c r="F646" s="18"/>
      <c r="G646" s="18"/>
    </row>
    <row r="647">
      <c r="B647" s="14"/>
      <c r="E647" s="18"/>
      <c r="F647" s="18"/>
      <c r="G647" s="18"/>
    </row>
    <row r="648">
      <c r="B648" s="14"/>
      <c r="E648" s="18"/>
      <c r="F648" s="18"/>
      <c r="G648" s="18"/>
    </row>
    <row r="649">
      <c r="B649" s="14"/>
      <c r="E649" s="18"/>
      <c r="F649" s="18"/>
      <c r="G649" s="18"/>
    </row>
    <row r="650">
      <c r="B650" s="14"/>
      <c r="E650" s="18"/>
      <c r="F650" s="18"/>
      <c r="G650" s="18"/>
    </row>
    <row r="651">
      <c r="B651" s="14"/>
      <c r="E651" s="18"/>
      <c r="F651" s="18"/>
      <c r="G651" s="18"/>
    </row>
    <row r="652">
      <c r="B652" s="14"/>
      <c r="E652" s="18"/>
      <c r="F652" s="18"/>
      <c r="G652" s="18"/>
    </row>
    <row r="653">
      <c r="B653" s="14"/>
      <c r="E653" s="18"/>
      <c r="F653" s="18"/>
      <c r="G653" s="18"/>
    </row>
    <row r="654">
      <c r="B654" s="14"/>
      <c r="E654" s="18"/>
      <c r="F654" s="18"/>
      <c r="G654" s="18"/>
    </row>
    <row r="655">
      <c r="B655" s="14"/>
      <c r="E655" s="18"/>
      <c r="F655" s="18"/>
      <c r="G655" s="18"/>
    </row>
    <row r="656">
      <c r="B656" s="14"/>
      <c r="E656" s="18"/>
      <c r="F656" s="18"/>
      <c r="G656" s="18"/>
    </row>
    <row r="657">
      <c r="B657" s="14"/>
      <c r="E657" s="18"/>
      <c r="F657" s="18"/>
      <c r="G657" s="18"/>
    </row>
    <row r="658">
      <c r="B658" s="14"/>
      <c r="E658" s="18"/>
      <c r="F658" s="18"/>
      <c r="G658" s="18"/>
    </row>
    <row r="659">
      <c r="B659" s="14"/>
      <c r="E659" s="18"/>
      <c r="F659" s="18"/>
      <c r="G659" s="18"/>
    </row>
    <row r="660">
      <c r="B660" s="14"/>
      <c r="E660" s="18"/>
      <c r="F660" s="18"/>
      <c r="G660" s="18"/>
    </row>
    <row r="661">
      <c r="B661" s="14"/>
      <c r="E661" s="18"/>
      <c r="F661" s="18"/>
      <c r="G661" s="18"/>
    </row>
    <row r="662">
      <c r="B662" s="14"/>
      <c r="E662" s="18"/>
      <c r="F662" s="18"/>
      <c r="G662" s="18"/>
    </row>
    <row r="663">
      <c r="B663" s="14"/>
      <c r="E663" s="18"/>
      <c r="F663" s="18"/>
      <c r="G663" s="18"/>
    </row>
    <row r="664">
      <c r="B664" s="14"/>
      <c r="E664" s="18"/>
      <c r="F664" s="18"/>
      <c r="G664" s="18"/>
    </row>
    <row r="665">
      <c r="B665" s="14"/>
      <c r="E665" s="18"/>
      <c r="F665" s="18"/>
      <c r="G665" s="18"/>
    </row>
    <row r="666">
      <c r="B666" s="14"/>
      <c r="E666" s="18"/>
      <c r="F666" s="18"/>
      <c r="G666" s="18"/>
    </row>
    <row r="667">
      <c r="B667" s="14"/>
      <c r="E667" s="18"/>
      <c r="F667" s="18"/>
      <c r="G667" s="18"/>
    </row>
    <row r="668">
      <c r="B668" s="14"/>
      <c r="E668" s="18"/>
      <c r="F668" s="18"/>
      <c r="G668" s="18"/>
    </row>
    <row r="669">
      <c r="B669" s="14"/>
      <c r="E669" s="18"/>
      <c r="F669" s="18"/>
      <c r="G669" s="18"/>
    </row>
    <row r="670">
      <c r="B670" s="14"/>
      <c r="E670" s="18"/>
      <c r="F670" s="18"/>
      <c r="G670" s="18"/>
    </row>
    <row r="671">
      <c r="B671" s="14"/>
      <c r="E671" s="18"/>
      <c r="F671" s="18"/>
      <c r="G671" s="18"/>
    </row>
    <row r="672">
      <c r="B672" s="14"/>
      <c r="E672" s="18"/>
      <c r="F672" s="18"/>
      <c r="G672" s="18"/>
    </row>
    <row r="673">
      <c r="B673" s="14"/>
      <c r="E673" s="18"/>
      <c r="F673" s="18"/>
      <c r="G673" s="18"/>
    </row>
    <row r="674">
      <c r="B674" s="14"/>
      <c r="E674" s="18"/>
      <c r="F674" s="18"/>
      <c r="G674" s="18"/>
    </row>
    <row r="675">
      <c r="B675" s="14"/>
      <c r="E675" s="18"/>
      <c r="F675" s="18"/>
      <c r="G675" s="18"/>
    </row>
    <row r="676">
      <c r="B676" s="14"/>
      <c r="E676" s="18"/>
      <c r="F676" s="18"/>
      <c r="G676" s="18"/>
    </row>
    <row r="677">
      <c r="B677" s="14"/>
      <c r="E677" s="18"/>
      <c r="F677" s="18"/>
      <c r="G677" s="18"/>
    </row>
    <row r="678">
      <c r="B678" s="14"/>
      <c r="E678" s="18"/>
      <c r="F678" s="18"/>
      <c r="G678" s="18"/>
    </row>
    <row r="679">
      <c r="B679" s="14"/>
      <c r="E679" s="18"/>
      <c r="F679" s="18"/>
      <c r="G679" s="18"/>
    </row>
    <row r="680">
      <c r="B680" s="14"/>
      <c r="E680" s="18"/>
      <c r="F680" s="18"/>
      <c r="G680" s="18"/>
    </row>
    <row r="681">
      <c r="B681" s="14"/>
      <c r="E681" s="18"/>
      <c r="F681" s="18"/>
      <c r="G681" s="18"/>
    </row>
    <row r="682">
      <c r="B682" s="14"/>
      <c r="E682" s="18"/>
      <c r="F682" s="18"/>
      <c r="G682" s="18"/>
    </row>
    <row r="683">
      <c r="B683" s="14"/>
      <c r="E683" s="18"/>
      <c r="F683" s="18"/>
      <c r="G683" s="18"/>
    </row>
    <row r="684">
      <c r="B684" s="14"/>
      <c r="E684" s="18"/>
      <c r="F684" s="18"/>
      <c r="G684" s="18"/>
    </row>
    <row r="685">
      <c r="B685" s="14"/>
      <c r="E685" s="18"/>
      <c r="F685" s="18"/>
      <c r="G685" s="18"/>
    </row>
    <row r="686">
      <c r="B686" s="14"/>
      <c r="E686" s="18"/>
      <c r="F686" s="18"/>
      <c r="G686" s="18"/>
    </row>
    <row r="687">
      <c r="B687" s="14"/>
      <c r="E687" s="18"/>
      <c r="F687" s="18"/>
      <c r="G687" s="18"/>
    </row>
    <row r="688">
      <c r="B688" s="14"/>
      <c r="E688" s="18"/>
      <c r="F688" s="18"/>
      <c r="G688" s="18"/>
    </row>
    <row r="689">
      <c r="B689" s="14"/>
      <c r="E689" s="18"/>
      <c r="F689" s="18"/>
      <c r="G689" s="18"/>
    </row>
    <row r="690">
      <c r="B690" s="14"/>
      <c r="E690" s="18"/>
      <c r="F690" s="18"/>
      <c r="G690" s="18"/>
    </row>
    <row r="691">
      <c r="B691" s="14"/>
      <c r="E691" s="18"/>
      <c r="F691" s="18"/>
      <c r="G691" s="18"/>
    </row>
    <row r="692">
      <c r="B692" s="14"/>
      <c r="E692" s="18"/>
      <c r="F692" s="18"/>
      <c r="G692" s="18"/>
    </row>
    <row r="693">
      <c r="B693" s="14"/>
      <c r="E693" s="18"/>
      <c r="F693" s="18"/>
      <c r="G693" s="18"/>
    </row>
    <row r="694">
      <c r="B694" s="14"/>
      <c r="E694" s="18"/>
      <c r="F694" s="18"/>
      <c r="G694" s="18"/>
    </row>
    <row r="695">
      <c r="B695" s="14"/>
      <c r="E695" s="18"/>
      <c r="F695" s="18"/>
      <c r="G695" s="18"/>
    </row>
    <row r="696">
      <c r="B696" s="14"/>
      <c r="E696" s="18"/>
      <c r="F696" s="18"/>
      <c r="G696" s="18"/>
    </row>
    <row r="697">
      <c r="B697" s="14"/>
      <c r="E697" s="18"/>
      <c r="F697" s="18"/>
      <c r="G697" s="18"/>
    </row>
    <row r="698">
      <c r="B698" s="14"/>
      <c r="E698" s="18"/>
      <c r="F698" s="18"/>
      <c r="G698" s="18"/>
    </row>
    <row r="699">
      <c r="B699" s="14"/>
      <c r="E699" s="18"/>
      <c r="F699" s="18"/>
      <c r="G699" s="18"/>
    </row>
    <row r="700">
      <c r="B700" s="14"/>
      <c r="E700" s="18"/>
      <c r="F700" s="18"/>
      <c r="G700" s="18"/>
    </row>
    <row r="701">
      <c r="B701" s="14"/>
      <c r="E701" s="18"/>
      <c r="F701" s="18"/>
      <c r="G701" s="18"/>
    </row>
    <row r="702">
      <c r="B702" s="14"/>
      <c r="E702" s="18"/>
      <c r="F702" s="18"/>
      <c r="G702" s="18"/>
    </row>
    <row r="703">
      <c r="B703" s="14"/>
      <c r="E703" s="18"/>
      <c r="F703" s="18"/>
      <c r="G703" s="18"/>
    </row>
    <row r="704">
      <c r="B704" s="14"/>
      <c r="E704" s="18"/>
      <c r="F704" s="18"/>
      <c r="G704" s="18"/>
    </row>
    <row r="705">
      <c r="B705" s="14"/>
      <c r="E705" s="18"/>
      <c r="F705" s="18"/>
      <c r="G705" s="18"/>
    </row>
    <row r="706">
      <c r="B706" s="14"/>
      <c r="E706" s="18"/>
      <c r="F706" s="18"/>
      <c r="G706" s="18"/>
    </row>
    <row r="707">
      <c r="B707" s="14"/>
      <c r="E707" s="18"/>
      <c r="F707" s="18"/>
      <c r="G707" s="18"/>
    </row>
    <row r="708">
      <c r="B708" s="14"/>
      <c r="E708" s="18"/>
      <c r="F708" s="18"/>
      <c r="G708" s="18"/>
    </row>
    <row r="709">
      <c r="B709" s="14"/>
      <c r="E709" s="18"/>
      <c r="F709" s="18"/>
      <c r="G709" s="18"/>
    </row>
    <row r="710">
      <c r="B710" s="14"/>
      <c r="E710" s="18"/>
      <c r="F710" s="18"/>
      <c r="G710" s="18"/>
    </row>
    <row r="711">
      <c r="B711" s="14"/>
      <c r="E711" s="18"/>
      <c r="F711" s="18"/>
      <c r="G711" s="18"/>
    </row>
    <row r="712">
      <c r="B712" s="14"/>
      <c r="E712" s="18"/>
      <c r="F712" s="18"/>
      <c r="G712" s="18"/>
    </row>
    <row r="713">
      <c r="B713" s="14"/>
      <c r="E713" s="18"/>
      <c r="F713" s="18"/>
      <c r="G713" s="18"/>
    </row>
    <row r="714">
      <c r="B714" s="14"/>
      <c r="E714" s="18"/>
      <c r="F714" s="18"/>
      <c r="G714" s="18"/>
    </row>
    <row r="715">
      <c r="B715" s="14"/>
      <c r="E715" s="18"/>
      <c r="F715" s="18"/>
      <c r="G715" s="18"/>
    </row>
    <row r="716">
      <c r="B716" s="14"/>
      <c r="E716" s="18"/>
      <c r="F716" s="18"/>
      <c r="G716" s="18"/>
    </row>
    <row r="717">
      <c r="B717" s="14"/>
      <c r="E717" s="18"/>
      <c r="F717" s="18"/>
      <c r="G717" s="18"/>
    </row>
    <row r="718">
      <c r="B718" s="14"/>
      <c r="E718" s="18"/>
      <c r="F718" s="18"/>
      <c r="G718" s="18"/>
    </row>
    <row r="719">
      <c r="B719" s="14"/>
      <c r="E719" s="18"/>
      <c r="F719" s="18"/>
      <c r="G719" s="18"/>
    </row>
    <row r="720">
      <c r="B720" s="14"/>
      <c r="E720" s="18"/>
      <c r="F720" s="18"/>
      <c r="G720" s="18"/>
    </row>
    <row r="721">
      <c r="B721" s="14"/>
      <c r="E721" s="18"/>
      <c r="F721" s="18"/>
      <c r="G721" s="18"/>
    </row>
    <row r="722">
      <c r="B722" s="14"/>
      <c r="E722" s="18"/>
      <c r="F722" s="18"/>
      <c r="G722" s="18"/>
    </row>
    <row r="723">
      <c r="B723" s="14"/>
      <c r="E723" s="18"/>
      <c r="F723" s="18"/>
      <c r="G723" s="18"/>
    </row>
    <row r="724">
      <c r="B724" s="14"/>
      <c r="E724" s="18"/>
      <c r="F724" s="18"/>
      <c r="G724" s="18"/>
    </row>
    <row r="725">
      <c r="B725" s="14"/>
      <c r="E725" s="18"/>
      <c r="F725" s="18"/>
      <c r="G725" s="18"/>
    </row>
    <row r="726">
      <c r="B726" s="14"/>
      <c r="E726" s="18"/>
      <c r="F726" s="18"/>
      <c r="G726" s="18"/>
    </row>
    <row r="727">
      <c r="B727" s="14"/>
      <c r="E727" s="18"/>
      <c r="F727" s="18"/>
      <c r="G727" s="18"/>
    </row>
    <row r="728">
      <c r="B728" s="14"/>
      <c r="E728" s="18"/>
      <c r="F728" s="18"/>
      <c r="G728" s="18"/>
    </row>
    <row r="729">
      <c r="B729" s="14"/>
      <c r="E729" s="18"/>
      <c r="F729" s="18"/>
      <c r="G729" s="18"/>
    </row>
    <row r="730">
      <c r="B730" s="14"/>
      <c r="E730" s="18"/>
      <c r="F730" s="18"/>
      <c r="G730" s="18"/>
    </row>
    <row r="731">
      <c r="B731" s="14"/>
      <c r="E731" s="18"/>
      <c r="F731" s="18"/>
      <c r="G731" s="18"/>
    </row>
    <row r="732">
      <c r="B732" s="14"/>
      <c r="E732" s="18"/>
      <c r="F732" s="18"/>
      <c r="G732" s="18"/>
    </row>
    <row r="733">
      <c r="B733" s="14"/>
      <c r="E733" s="18"/>
      <c r="F733" s="18"/>
      <c r="G733" s="18"/>
    </row>
    <row r="734">
      <c r="B734" s="14"/>
      <c r="E734" s="18"/>
      <c r="F734" s="18"/>
      <c r="G734" s="18"/>
    </row>
    <row r="735">
      <c r="B735" s="14"/>
      <c r="E735" s="18"/>
      <c r="F735" s="18"/>
      <c r="G735" s="18"/>
    </row>
    <row r="736">
      <c r="B736" s="14"/>
      <c r="E736" s="18"/>
      <c r="F736" s="18"/>
      <c r="G736" s="18"/>
    </row>
    <row r="737">
      <c r="B737" s="14"/>
      <c r="E737" s="18"/>
      <c r="F737" s="18"/>
      <c r="G737" s="18"/>
    </row>
    <row r="738">
      <c r="B738" s="14"/>
      <c r="E738" s="18"/>
      <c r="F738" s="18"/>
      <c r="G738" s="18"/>
    </row>
    <row r="739">
      <c r="B739" s="14"/>
      <c r="E739" s="18"/>
      <c r="F739" s="18"/>
      <c r="G739" s="18"/>
    </row>
    <row r="740">
      <c r="B740" s="14"/>
      <c r="E740" s="18"/>
      <c r="F740" s="18"/>
      <c r="G740" s="18"/>
    </row>
    <row r="741">
      <c r="B741" s="14"/>
      <c r="E741" s="18"/>
      <c r="F741" s="18"/>
      <c r="G741" s="18"/>
    </row>
    <row r="742">
      <c r="B742" s="14"/>
      <c r="E742" s="18"/>
      <c r="F742" s="18"/>
      <c r="G742" s="18"/>
    </row>
    <row r="743">
      <c r="B743" s="14"/>
      <c r="E743" s="18"/>
      <c r="F743" s="18"/>
      <c r="G743" s="18"/>
    </row>
    <row r="744">
      <c r="B744" s="14"/>
      <c r="E744" s="18"/>
      <c r="F744" s="18"/>
      <c r="G744" s="18"/>
    </row>
    <row r="745">
      <c r="B745" s="14"/>
      <c r="E745" s="18"/>
      <c r="F745" s="18"/>
      <c r="G745" s="18"/>
    </row>
    <row r="746">
      <c r="B746" s="14"/>
      <c r="E746" s="18"/>
      <c r="F746" s="18"/>
      <c r="G746" s="18"/>
    </row>
    <row r="747">
      <c r="B747" s="14"/>
      <c r="E747" s="18"/>
      <c r="F747" s="18"/>
      <c r="G747" s="18"/>
    </row>
    <row r="748">
      <c r="B748" s="14"/>
      <c r="E748" s="18"/>
      <c r="F748" s="18"/>
      <c r="G748" s="18"/>
    </row>
    <row r="749">
      <c r="B749" s="14"/>
      <c r="E749" s="18"/>
      <c r="F749" s="18"/>
      <c r="G749" s="18"/>
    </row>
    <row r="750">
      <c r="B750" s="14"/>
      <c r="E750" s="18"/>
      <c r="F750" s="18"/>
      <c r="G750" s="18"/>
    </row>
    <row r="751">
      <c r="B751" s="14"/>
      <c r="E751" s="18"/>
      <c r="F751" s="18"/>
      <c r="G751" s="18"/>
    </row>
    <row r="752">
      <c r="B752" s="14"/>
      <c r="E752" s="18"/>
      <c r="F752" s="18"/>
      <c r="G752" s="18"/>
    </row>
    <row r="753">
      <c r="B753" s="14"/>
      <c r="E753" s="18"/>
      <c r="F753" s="18"/>
      <c r="G753" s="18"/>
    </row>
    <row r="754">
      <c r="B754" s="14"/>
      <c r="E754" s="18"/>
      <c r="F754" s="18"/>
      <c r="G754" s="18"/>
    </row>
    <row r="755">
      <c r="B755" s="14"/>
      <c r="E755" s="18"/>
      <c r="F755" s="18"/>
      <c r="G755" s="18"/>
    </row>
    <row r="756">
      <c r="B756" s="14"/>
      <c r="E756" s="18"/>
      <c r="F756" s="18"/>
      <c r="G756" s="18"/>
    </row>
    <row r="757">
      <c r="B757" s="14"/>
      <c r="E757" s="18"/>
      <c r="F757" s="18"/>
      <c r="G757" s="18"/>
    </row>
    <row r="758">
      <c r="B758" s="14"/>
      <c r="E758" s="18"/>
      <c r="F758" s="18"/>
      <c r="G758" s="18"/>
    </row>
    <row r="759">
      <c r="B759" s="14"/>
      <c r="E759" s="18"/>
      <c r="F759" s="18"/>
      <c r="G759" s="18"/>
    </row>
    <row r="760">
      <c r="B760" s="14"/>
      <c r="E760" s="18"/>
      <c r="F760" s="18"/>
      <c r="G760" s="18"/>
    </row>
    <row r="761">
      <c r="B761" s="14"/>
      <c r="E761" s="18"/>
      <c r="F761" s="18"/>
      <c r="G761" s="18"/>
    </row>
    <row r="762">
      <c r="B762" s="14"/>
      <c r="E762" s="18"/>
      <c r="F762" s="18"/>
      <c r="G762" s="18"/>
    </row>
    <row r="763">
      <c r="B763" s="14"/>
      <c r="E763" s="18"/>
      <c r="F763" s="18"/>
      <c r="G763" s="18"/>
    </row>
    <row r="764">
      <c r="B764" s="14"/>
      <c r="E764" s="18"/>
      <c r="F764" s="18"/>
      <c r="G764" s="18"/>
    </row>
    <row r="765">
      <c r="B765" s="14"/>
      <c r="E765" s="18"/>
      <c r="F765" s="18"/>
      <c r="G765" s="18"/>
    </row>
    <row r="766">
      <c r="B766" s="14"/>
      <c r="E766" s="18"/>
      <c r="F766" s="18"/>
      <c r="G766" s="18"/>
    </row>
    <row r="767">
      <c r="B767" s="14"/>
      <c r="E767" s="18"/>
      <c r="F767" s="18"/>
      <c r="G767" s="18"/>
    </row>
    <row r="768">
      <c r="B768" s="14"/>
      <c r="E768" s="18"/>
      <c r="F768" s="18"/>
      <c r="G768" s="18"/>
    </row>
    <row r="769">
      <c r="B769" s="14"/>
      <c r="E769" s="18"/>
      <c r="F769" s="18"/>
      <c r="G769" s="18"/>
    </row>
    <row r="770">
      <c r="B770" s="14"/>
      <c r="E770" s="18"/>
      <c r="F770" s="18"/>
      <c r="G770" s="18"/>
    </row>
    <row r="771">
      <c r="B771" s="14"/>
      <c r="E771" s="18"/>
      <c r="F771" s="18"/>
      <c r="G771" s="18"/>
    </row>
    <row r="772">
      <c r="B772" s="14"/>
      <c r="E772" s="18"/>
      <c r="F772" s="18"/>
      <c r="G772" s="18"/>
    </row>
    <row r="773">
      <c r="B773" s="14"/>
      <c r="E773" s="18"/>
      <c r="F773" s="18"/>
      <c r="G773" s="18"/>
    </row>
    <row r="774">
      <c r="B774" s="14"/>
      <c r="E774" s="18"/>
      <c r="F774" s="18"/>
      <c r="G774" s="18"/>
    </row>
    <row r="775">
      <c r="B775" s="14"/>
      <c r="E775" s="18"/>
      <c r="F775" s="18"/>
      <c r="G775" s="18"/>
    </row>
    <row r="776">
      <c r="B776" s="14"/>
      <c r="E776" s="18"/>
      <c r="F776" s="18"/>
      <c r="G776" s="18"/>
    </row>
    <row r="777">
      <c r="B777" s="14"/>
      <c r="E777" s="18"/>
      <c r="F777" s="18"/>
      <c r="G777" s="18"/>
    </row>
    <row r="778">
      <c r="B778" s="14"/>
      <c r="E778" s="18"/>
      <c r="F778" s="18"/>
      <c r="G778" s="18"/>
    </row>
    <row r="779">
      <c r="B779" s="14"/>
      <c r="E779" s="18"/>
      <c r="F779" s="18"/>
      <c r="G779" s="18"/>
    </row>
    <row r="780">
      <c r="B780" s="14"/>
      <c r="E780" s="18"/>
      <c r="F780" s="18"/>
      <c r="G780" s="18"/>
    </row>
    <row r="781">
      <c r="B781" s="14"/>
      <c r="E781" s="18"/>
      <c r="F781" s="18"/>
      <c r="G781" s="18"/>
    </row>
    <row r="782">
      <c r="B782" s="14"/>
      <c r="E782" s="18"/>
      <c r="F782" s="18"/>
      <c r="G782" s="18"/>
    </row>
    <row r="783">
      <c r="B783" s="14"/>
      <c r="E783" s="18"/>
      <c r="F783" s="18"/>
      <c r="G783" s="18"/>
    </row>
    <row r="784">
      <c r="B784" s="14"/>
      <c r="E784" s="18"/>
      <c r="F784" s="18"/>
      <c r="G784" s="18"/>
    </row>
    <row r="785">
      <c r="B785" s="14"/>
      <c r="E785" s="18"/>
      <c r="F785" s="18"/>
      <c r="G785" s="18"/>
    </row>
    <row r="786">
      <c r="B786" s="14"/>
      <c r="E786" s="18"/>
      <c r="F786" s="18"/>
      <c r="G786" s="18"/>
    </row>
    <row r="787">
      <c r="B787" s="14"/>
      <c r="E787" s="18"/>
      <c r="F787" s="18"/>
      <c r="G787" s="18"/>
    </row>
    <row r="788">
      <c r="B788" s="14"/>
      <c r="E788" s="18"/>
      <c r="F788" s="18"/>
      <c r="G788" s="18"/>
    </row>
    <row r="789">
      <c r="B789" s="14"/>
      <c r="E789" s="18"/>
      <c r="F789" s="18"/>
      <c r="G789" s="18"/>
    </row>
    <row r="790">
      <c r="B790" s="14"/>
      <c r="E790" s="18"/>
      <c r="F790" s="18"/>
      <c r="G790" s="18"/>
    </row>
    <row r="791">
      <c r="B791" s="14"/>
      <c r="E791" s="18"/>
      <c r="F791" s="18"/>
      <c r="G791" s="18"/>
    </row>
    <row r="792">
      <c r="B792" s="14"/>
      <c r="E792" s="18"/>
      <c r="F792" s="18"/>
      <c r="G792" s="18"/>
    </row>
    <row r="793">
      <c r="B793" s="14"/>
      <c r="E793" s="18"/>
      <c r="F793" s="18"/>
      <c r="G793" s="18"/>
    </row>
    <row r="794">
      <c r="B794" s="14"/>
      <c r="E794" s="18"/>
      <c r="F794" s="18"/>
      <c r="G794" s="18"/>
    </row>
    <row r="795">
      <c r="B795" s="14"/>
      <c r="E795" s="18"/>
      <c r="F795" s="18"/>
      <c r="G795" s="18"/>
    </row>
    <row r="796">
      <c r="B796" s="14"/>
      <c r="E796" s="18"/>
      <c r="F796" s="18"/>
      <c r="G796" s="18"/>
    </row>
    <row r="797">
      <c r="B797" s="14"/>
      <c r="E797" s="18"/>
      <c r="F797" s="18"/>
      <c r="G797" s="18"/>
    </row>
    <row r="798">
      <c r="B798" s="14"/>
      <c r="E798" s="18"/>
      <c r="F798" s="18"/>
      <c r="G798" s="18"/>
    </row>
    <row r="799">
      <c r="B799" s="14"/>
      <c r="E799" s="18"/>
      <c r="F799" s="18"/>
      <c r="G799" s="18"/>
    </row>
    <row r="800">
      <c r="B800" s="14"/>
      <c r="E800" s="18"/>
      <c r="F800" s="18"/>
      <c r="G800" s="18"/>
    </row>
    <row r="801">
      <c r="B801" s="14"/>
      <c r="E801" s="18"/>
      <c r="F801" s="18"/>
      <c r="G801" s="18"/>
    </row>
    <row r="802">
      <c r="B802" s="14"/>
      <c r="E802" s="18"/>
      <c r="F802" s="18"/>
      <c r="G802" s="18"/>
    </row>
    <row r="803">
      <c r="B803" s="14"/>
      <c r="E803" s="18"/>
      <c r="F803" s="18"/>
      <c r="G803" s="18"/>
    </row>
    <row r="804">
      <c r="B804" s="14"/>
      <c r="E804" s="18"/>
      <c r="F804" s="18"/>
      <c r="G804" s="18"/>
    </row>
    <row r="805">
      <c r="B805" s="14"/>
      <c r="E805" s="18"/>
      <c r="F805" s="18"/>
      <c r="G805" s="18"/>
    </row>
    <row r="806">
      <c r="B806" s="14"/>
      <c r="E806" s="18"/>
      <c r="F806" s="18"/>
      <c r="G806" s="18"/>
    </row>
    <row r="807">
      <c r="B807" s="14"/>
      <c r="E807" s="18"/>
      <c r="F807" s="18"/>
      <c r="G807" s="18"/>
    </row>
    <row r="808">
      <c r="B808" s="14"/>
      <c r="E808" s="18"/>
      <c r="F808" s="18"/>
      <c r="G808" s="18"/>
    </row>
    <row r="809">
      <c r="B809" s="14"/>
      <c r="E809" s="18"/>
      <c r="F809" s="18"/>
      <c r="G809" s="18"/>
    </row>
    <row r="810">
      <c r="B810" s="14"/>
      <c r="E810" s="18"/>
      <c r="F810" s="18"/>
      <c r="G810" s="18"/>
    </row>
    <row r="811">
      <c r="B811" s="14"/>
      <c r="E811" s="18"/>
      <c r="F811" s="18"/>
      <c r="G811" s="18"/>
    </row>
    <row r="812">
      <c r="B812" s="14"/>
      <c r="E812" s="18"/>
      <c r="F812" s="18"/>
      <c r="G812" s="18"/>
    </row>
    <row r="813">
      <c r="B813" s="14"/>
      <c r="E813" s="18"/>
      <c r="F813" s="18"/>
      <c r="G813" s="18"/>
    </row>
    <row r="814">
      <c r="B814" s="14"/>
      <c r="E814" s="18"/>
      <c r="F814" s="18"/>
      <c r="G814" s="18"/>
    </row>
    <row r="815">
      <c r="B815" s="14"/>
      <c r="E815" s="18"/>
      <c r="F815" s="18"/>
      <c r="G815" s="18"/>
    </row>
    <row r="816">
      <c r="B816" s="14"/>
      <c r="E816" s="18"/>
      <c r="F816" s="18"/>
      <c r="G816" s="18"/>
    </row>
    <row r="817">
      <c r="B817" s="14"/>
      <c r="E817" s="18"/>
      <c r="F817" s="18"/>
      <c r="G817" s="18"/>
    </row>
    <row r="818">
      <c r="B818" s="14"/>
      <c r="E818" s="18"/>
      <c r="F818" s="18"/>
      <c r="G818" s="18"/>
    </row>
    <row r="819">
      <c r="B819" s="14"/>
      <c r="E819" s="18"/>
      <c r="F819" s="18"/>
      <c r="G819" s="18"/>
    </row>
    <row r="820">
      <c r="B820" s="14"/>
      <c r="E820" s="18"/>
      <c r="F820" s="18"/>
      <c r="G820" s="18"/>
    </row>
    <row r="821">
      <c r="B821" s="14"/>
      <c r="E821" s="18"/>
      <c r="F821" s="18"/>
      <c r="G821" s="18"/>
    </row>
    <row r="822">
      <c r="B822" s="14"/>
      <c r="E822" s="18"/>
      <c r="F822" s="18"/>
      <c r="G822" s="18"/>
    </row>
    <row r="823">
      <c r="B823" s="14"/>
      <c r="E823" s="18"/>
      <c r="F823" s="18"/>
      <c r="G823" s="18"/>
    </row>
    <row r="824">
      <c r="B824" s="14"/>
      <c r="E824" s="18"/>
      <c r="F824" s="18"/>
      <c r="G824" s="18"/>
    </row>
    <row r="825">
      <c r="B825" s="14"/>
      <c r="E825" s="18"/>
      <c r="F825" s="18"/>
      <c r="G825" s="18"/>
    </row>
    <row r="826">
      <c r="B826" s="14"/>
      <c r="E826" s="18"/>
      <c r="F826" s="18"/>
      <c r="G826" s="18"/>
    </row>
    <row r="827">
      <c r="B827" s="14"/>
      <c r="E827" s="18"/>
      <c r="F827" s="18"/>
      <c r="G827" s="18"/>
    </row>
    <row r="828">
      <c r="B828" s="14"/>
      <c r="E828" s="18"/>
      <c r="F828" s="18"/>
      <c r="G828" s="18"/>
    </row>
    <row r="829">
      <c r="B829" s="14"/>
      <c r="E829" s="18"/>
      <c r="F829" s="18"/>
      <c r="G829" s="18"/>
    </row>
    <row r="830">
      <c r="B830" s="14"/>
      <c r="E830" s="18"/>
      <c r="F830" s="18"/>
      <c r="G830" s="18"/>
    </row>
    <row r="831">
      <c r="B831" s="14"/>
      <c r="E831" s="18"/>
      <c r="F831" s="18"/>
      <c r="G831" s="18"/>
    </row>
    <row r="832">
      <c r="B832" s="14"/>
      <c r="E832" s="18"/>
      <c r="F832" s="18"/>
      <c r="G832" s="18"/>
    </row>
    <row r="833">
      <c r="B833" s="14"/>
      <c r="E833" s="18"/>
      <c r="F833" s="18"/>
      <c r="G833" s="18"/>
    </row>
    <row r="834">
      <c r="B834" s="14"/>
      <c r="E834" s="18"/>
      <c r="F834" s="18"/>
      <c r="G834" s="18"/>
    </row>
    <row r="835">
      <c r="B835" s="14"/>
      <c r="E835" s="18"/>
      <c r="F835" s="18"/>
      <c r="G835" s="18"/>
    </row>
    <row r="836">
      <c r="B836" s="14"/>
      <c r="E836" s="18"/>
      <c r="F836" s="18"/>
      <c r="G836" s="18"/>
    </row>
    <row r="837">
      <c r="B837" s="14"/>
      <c r="E837" s="18"/>
      <c r="F837" s="18"/>
      <c r="G837" s="18"/>
    </row>
    <row r="838">
      <c r="B838" s="14"/>
      <c r="E838" s="18"/>
      <c r="F838" s="18"/>
      <c r="G838" s="18"/>
    </row>
    <row r="839">
      <c r="B839" s="14"/>
      <c r="E839" s="18"/>
      <c r="F839" s="18"/>
      <c r="G839" s="18"/>
    </row>
    <row r="840">
      <c r="B840" s="14"/>
      <c r="E840" s="18"/>
      <c r="F840" s="18"/>
      <c r="G840" s="18"/>
    </row>
    <row r="841">
      <c r="B841" s="14"/>
      <c r="E841" s="18"/>
      <c r="F841" s="18"/>
      <c r="G841" s="18"/>
    </row>
    <row r="842">
      <c r="B842" s="14"/>
      <c r="E842" s="18"/>
      <c r="F842" s="18"/>
      <c r="G842" s="18"/>
    </row>
    <row r="843">
      <c r="B843" s="14"/>
      <c r="E843" s="18"/>
      <c r="F843" s="18"/>
      <c r="G843" s="18"/>
    </row>
    <row r="844">
      <c r="B844" s="14"/>
      <c r="E844" s="18"/>
      <c r="F844" s="18"/>
      <c r="G844" s="18"/>
    </row>
    <row r="845">
      <c r="B845" s="14"/>
      <c r="E845" s="18"/>
      <c r="F845" s="18"/>
      <c r="G845" s="18"/>
    </row>
    <row r="846">
      <c r="B846" s="14"/>
      <c r="E846" s="18"/>
      <c r="F846" s="18"/>
      <c r="G846" s="18"/>
    </row>
    <row r="847">
      <c r="B847" s="14"/>
      <c r="E847" s="18"/>
      <c r="F847" s="18"/>
      <c r="G847" s="18"/>
    </row>
    <row r="848">
      <c r="B848" s="14"/>
      <c r="E848" s="18"/>
      <c r="F848" s="18"/>
      <c r="G848" s="18"/>
    </row>
    <row r="849">
      <c r="B849" s="14"/>
      <c r="E849" s="18"/>
      <c r="F849" s="18"/>
      <c r="G849" s="18"/>
    </row>
    <row r="850">
      <c r="B850" s="14"/>
      <c r="E850" s="18"/>
      <c r="F850" s="18"/>
      <c r="G850" s="18"/>
    </row>
    <row r="851">
      <c r="B851" s="14"/>
      <c r="E851" s="18"/>
      <c r="F851" s="18"/>
      <c r="G851" s="18"/>
    </row>
    <row r="852">
      <c r="B852" s="14"/>
      <c r="E852" s="18"/>
      <c r="F852" s="18"/>
      <c r="G852" s="18"/>
    </row>
    <row r="853">
      <c r="B853" s="14"/>
      <c r="E853" s="18"/>
      <c r="F853" s="18"/>
      <c r="G853" s="18"/>
    </row>
    <row r="854">
      <c r="B854" s="14"/>
      <c r="E854" s="18"/>
      <c r="F854" s="18"/>
      <c r="G854" s="18"/>
    </row>
    <row r="855">
      <c r="B855" s="14"/>
      <c r="E855" s="18"/>
      <c r="F855" s="18"/>
      <c r="G855" s="18"/>
    </row>
    <row r="856">
      <c r="B856" s="14"/>
      <c r="E856" s="18"/>
      <c r="F856" s="18"/>
      <c r="G856" s="18"/>
    </row>
    <row r="857">
      <c r="B857" s="14"/>
      <c r="E857" s="18"/>
      <c r="F857" s="18"/>
      <c r="G857" s="18"/>
    </row>
    <row r="858">
      <c r="B858" s="14"/>
      <c r="E858" s="18"/>
      <c r="F858" s="18"/>
      <c r="G858" s="18"/>
    </row>
    <row r="859">
      <c r="B859" s="14"/>
      <c r="E859" s="18"/>
      <c r="F859" s="18"/>
      <c r="G859" s="18"/>
    </row>
    <row r="860">
      <c r="B860" s="14"/>
      <c r="E860" s="18"/>
      <c r="F860" s="18"/>
      <c r="G860" s="18"/>
    </row>
    <row r="861">
      <c r="B861" s="14"/>
      <c r="E861" s="18"/>
      <c r="F861" s="18"/>
      <c r="G861" s="18"/>
    </row>
    <row r="862">
      <c r="B862" s="14"/>
      <c r="E862" s="18"/>
      <c r="F862" s="18"/>
      <c r="G862" s="18"/>
    </row>
    <row r="863">
      <c r="B863" s="14"/>
      <c r="E863" s="18"/>
      <c r="F863" s="18"/>
      <c r="G863" s="18"/>
    </row>
    <row r="864">
      <c r="B864" s="14"/>
      <c r="E864" s="18"/>
      <c r="F864" s="18"/>
      <c r="G864" s="18"/>
    </row>
    <row r="865">
      <c r="B865" s="14"/>
      <c r="E865" s="18"/>
      <c r="F865" s="18"/>
      <c r="G865" s="18"/>
    </row>
    <row r="866">
      <c r="B866" s="14"/>
      <c r="E866" s="18"/>
      <c r="F866" s="18"/>
      <c r="G866" s="18"/>
    </row>
    <row r="867">
      <c r="B867" s="14"/>
      <c r="E867" s="18"/>
      <c r="F867" s="18"/>
      <c r="G867" s="18"/>
    </row>
    <row r="868">
      <c r="B868" s="14"/>
      <c r="E868" s="18"/>
      <c r="F868" s="18"/>
      <c r="G868" s="18"/>
    </row>
    <row r="869">
      <c r="B869" s="14"/>
      <c r="E869" s="18"/>
      <c r="F869" s="18"/>
      <c r="G869" s="18"/>
    </row>
    <row r="870">
      <c r="B870" s="14"/>
      <c r="E870" s="18"/>
      <c r="F870" s="18"/>
      <c r="G870" s="18"/>
    </row>
    <row r="871">
      <c r="B871" s="14"/>
      <c r="E871" s="18"/>
      <c r="F871" s="18"/>
      <c r="G871" s="18"/>
    </row>
    <row r="872">
      <c r="B872" s="14"/>
      <c r="E872" s="18"/>
      <c r="F872" s="18"/>
      <c r="G872" s="18"/>
    </row>
    <row r="873">
      <c r="B873" s="14"/>
      <c r="E873" s="18"/>
      <c r="F873" s="18"/>
      <c r="G873" s="18"/>
    </row>
    <row r="874">
      <c r="B874" s="14"/>
      <c r="E874" s="18"/>
      <c r="F874" s="18"/>
      <c r="G874" s="18"/>
    </row>
    <row r="875">
      <c r="B875" s="14"/>
      <c r="E875" s="18"/>
      <c r="F875" s="18"/>
      <c r="G875" s="18"/>
    </row>
    <row r="876">
      <c r="B876" s="14"/>
      <c r="E876" s="18"/>
      <c r="F876" s="18"/>
      <c r="G876" s="18"/>
    </row>
    <row r="877">
      <c r="B877" s="14"/>
      <c r="E877" s="18"/>
      <c r="F877" s="18"/>
      <c r="G877" s="18"/>
    </row>
    <row r="878">
      <c r="B878" s="14"/>
      <c r="E878" s="18"/>
      <c r="F878" s="18"/>
      <c r="G878" s="18"/>
    </row>
    <row r="879">
      <c r="B879" s="14"/>
      <c r="E879" s="18"/>
      <c r="F879" s="18"/>
      <c r="G879" s="18"/>
    </row>
    <row r="880">
      <c r="B880" s="14"/>
      <c r="E880" s="18"/>
      <c r="F880" s="18"/>
      <c r="G880" s="18"/>
    </row>
    <row r="881">
      <c r="B881" s="14"/>
      <c r="E881" s="18"/>
      <c r="F881" s="18"/>
      <c r="G881" s="18"/>
    </row>
    <row r="882">
      <c r="B882" s="14"/>
      <c r="E882" s="18"/>
      <c r="F882" s="18"/>
      <c r="G882" s="18"/>
    </row>
    <row r="883">
      <c r="B883" s="14"/>
      <c r="E883" s="18"/>
      <c r="F883" s="18"/>
      <c r="G883" s="18"/>
    </row>
    <row r="884">
      <c r="B884" s="14"/>
      <c r="E884" s="18"/>
      <c r="F884" s="18"/>
      <c r="G884" s="18"/>
    </row>
    <row r="885">
      <c r="B885" s="14"/>
      <c r="E885" s="18"/>
      <c r="F885" s="18"/>
      <c r="G885" s="18"/>
    </row>
    <row r="886">
      <c r="B886" s="14"/>
      <c r="E886" s="18"/>
      <c r="F886" s="18"/>
      <c r="G886" s="18"/>
    </row>
    <row r="887">
      <c r="B887" s="14"/>
      <c r="E887" s="18"/>
      <c r="F887" s="18"/>
      <c r="G887" s="18"/>
    </row>
    <row r="888">
      <c r="B888" s="14"/>
      <c r="E888" s="18"/>
      <c r="F888" s="18"/>
      <c r="G888" s="18"/>
    </row>
    <row r="889">
      <c r="B889" s="14"/>
      <c r="E889" s="18"/>
      <c r="F889" s="18"/>
      <c r="G889" s="18"/>
    </row>
    <row r="890">
      <c r="B890" s="14"/>
      <c r="E890" s="18"/>
      <c r="F890" s="18"/>
      <c r="G890" s="18"/>
    </row>
    <row r="891">
      <c r="B891" s="14"/>
      <c r="E891" s="18"/>
      <c r="F891" s="18"/>
      <c r="G891" s="18"/>
    </row>
    <row r="892">
      <c r="B892" s="14"/>
      <c r="E892" s="18"/>
      <c r="F892" s="18"/>
      <c r="G892" s="18"/>
    </row>
    <row r="893">
      <c r="B893" s="14"/>
      <c r="E893" s="18"/>
      <c r="F893" s="18"/>
      <c r="G893" s="18"/>
    </row>
    <row r="894">
      <c r="B894" s="14"/>
      <c r="E894" s="18"/>
      <c r="F894" s="18"/>
      <c r="G894" s="18"/>
    </row>
    <row r="895">
      <c r="B895" s="14"/>
      <c r="E895" s="18"/>
      <c r="F895" s="18"/>
      <c r="G895" s="18"/>
    </row>
    <row r="896">
      <c r="B896" s="14"/>
      <c r="E896" s="18"/>
      <c r="F896" s="18"/>
      <c r="G896" s="18"/>
    </row>
    <row r="897">
      <c r="B897" s="14"/>
      <c r="E897" s="18"/>
      <c r="F897" s="18"/>
      <c r="G897" s="18"/>
    </row>
    <row r="898">
      <c r="B898" s="14"/>
      <c r="E898" s="18"/>
      <c r="F898" s="18"/>
      <c r="G898" s="18"/>
    </row>
    <row r="899">
      <c r="B899" s="14"/>
      <c r="E899" s="18"/>
      <c r="F899" s="18"/>
      <c r="G899" s="18"/>
    </row>
    <row r="900">
      <c r="B900" s="14"/>
      <c r="E900" s="18"/>
      <c r="F900" s="18"/>
      <c r="G900" s="18"/>
    </row>
    <row r="901">
      <c r="B901" s="14"/>
      <c r="E901" s="18"/>
      <c r="F901" s="18"/>
      <c r="G901" s="18"/>
    </row>
    <row r="902">
      <c r="B902" s="14"/>
      <c r="E902" s="18"/>
      <c r="F902" s="18"/>
      <c r="G902" s="18"/>
    </row>
    <row r="903">
      <c r="B903" s="14"/>
      <c r="E903" s="18"/>
      <c r="F903" s="18"/>
      <c r="G903" s="18"/>
    </row>
    <row r="904">
      <c r="B904" s="14"/>
      <c r="E904" s="18"/>
      <c r="F904" s="18"/>
      <c r="G904" s="18"/>
    </row>
    <row r="905">
      <c r="B905" s="14"/>
      <c r="E905" s="18"/>
      <c r="F905" s="18"/>
      <c r="G905" s="18"/>
    </row>
    <row r="906">
      <c r="B906" s="14"/>
      <c r="E906" s="18"/>
      <c r="F906" s="18"/>
      <c r="G906" s="18"/>
    </row>
    <row r="907">
      <c r="B907" s="14"/>
      <c r="E907" s="18"/>
      <c r="F907" s="18"/>
      <c r="G907" s="18"/>
    </row>
    <row r="908">
      <c r="B908" s="14"/>
      <c r="E908" s="18"/>
      <c r="F908" s="18"/>
      <c r="G908" s="18"/>
    </row>
    <row r="909">
      <c r="B909" s="14"/>
      <c r="E909" s="18"/>
      <c r="F909" s="18"/>
      <c r="G909" s="18"/>
    </row>
    <row r="910">
      <c r="B910" s="14"/>
      <c r="E910" s="18"/>
      <c r="F910" s="18"/>
      <c r="G910" s="18"/>
    </row>
    <row r="911">
      <c r="B911" s="14"/>
      <c r="E911" s="18"/>
      <c r="F911" s="18"/>
      <c r="G911" s="18"/>
    </row>
    <row r="912">
      <c r="B912" s="14"/>
      <c r="E912" s="18"/>
      <c r="F912" s="18"/>
      <c r="G912" s="18"/>
    </row>
    <row r="913">
      <c r="B913" s="14"/>
      <c r="E913" s="18"/>
      <c r="F913" s="18"/>
      <c r="G913" s="18"/>
    </row>
    <row r="914">
      <c r="B914" s="14"/>
      <c r="E914" s="18"/>
      <c r="F914" s="18"/>
      <c r="G914" s="18"/>
    </row>
    <row r="915">
      <c r="B915" s="14"/>
      <c r="E915" s="18"/>
      <c r="F915" s="18"/>
      <c r="G915" s="18"/>
    </row>
    <row r="916">
      <c r="B916" s="14"/>
      <c r="E916" s="18"/>
      <c r="F916" s="18"/>
      <c r="G916" s="18"/>
    </row>
    <row r="917">
      <c r="B917" s="14"/>
      <c r="E917" s="18"/>
      <c r="F917" s="18"/>
      <c r="G917" s="18"/>
    </row>
    <row r="918">
      <c r="B918" s="14"/>
      <c r="E918" s="18"/>
      <c r="F918" s="18"/>
      <c r="G918" s="18"/>
    </row>
    <row r="919">
      <c r="B919" s="14"/>
      <c r="E919" s="18"/>
      <c r="F919" s="18"/>
      <c r="G919" s="18"/>
    </row>
    <row r="920">
      <c r="B920" s="14"/>
      <c r="E920" s="18"/>
      <c r="F920" s="18"/>
      <c r="G920" s="18"/>
    </row>
    <row r="921">
      <c r="B921" s="14"/>
      <c r="E921" s="18"/>
      <c r="F921" s="18"/>
      <c r="G921" s="18"/>
    </row>
    <row r="922">
      <c r="B922" s="14"/>
      <c r="E922" s="18"/>
      <c r="F922" s="18"/>
      <c r="G922" s="18"/>
    </row>
    <row r="923">
      <c r="B923" s="14"/>
      <c r="E923" s="18"/>
      <c r="F923" s="18"/>
      <c r="G923" s="18"/>
    </row>
    <row r="924">
      <c r="B924" s="14"/>
      <c r="E924" s="18"/>
      <c r="F924" s="18"/>
      <c r="G924" s="18"/>
    </row>
    <row r="925">
      <c r="B925" s="14"/>
      <c r="E925" s="18"/>
      <c r="F925" s="18"/>
      <c r="G925" s="18"/>
    </row>
    <row r="926">
      <c r="B926" s="14"/>
      <c r="E926" s="18"/>
      <c r="F926" s="18"/>
      <c r="G926" s="18"/>
    </row>
    <row r="927">
      <c r="B927" s="14"/>
      <c r="E927" s="18"/>
      <c r="F927" s="18"/>
      <c r="G927" s="18"/>
    </row>
    <row r="928">
      <c r="B928" s="14"/>
      <c r="E928" s="18"/>
      <c r="F928" s="18"/>
      <c r="G928" s="18"/>
    </row>
    <row r="929">
      <c r="B929" s="14"/>
      <c r="E929" s="18"/>
      <c r="F929" s="18"/>
      <c r="G929" s="18"/>
    </row>
    <row r="930">
      <c r="B930" s="14"/>
      <c r="E930" s="18"/>
      <c r="F930" s="18"/>
      <c r="G930" s="18"/>
    </row>
    <row r="931">
      <c r="B931" s="14"/>
      <c r="E931" s="18"/>
      <c r="F931" s="18"/>
      <c r="G931" s="18"/>
    </row>
    <row r="932">
      <c r="B932" s="14"/>
      <c r="E932" s="18"/>
      <c r="F932" s="18"/>
      <c r="G932" s="18"/>
    </row>
    <row r="933">
      <c r="B933" s="14"/>
      <c r="E933" s="18"/>
      <c r="F933" s="18"/>
      <c r="G933" s="18"/>
    </row>
    <row r="934">
      <c r="B934" s="14"/>
      <c r="E934" s="18"/>
      <c r="F934" s="18"/>
      <c r="G934" s="18"/>
    </row>
    <row r="935">
      <c r="B935" s="14"/>
      <c r="E935" s="18"/>
      <c r="F935" s="18"/>
      <c r="G935" s="18"/>
    </row>
    <row r="936">
      <c r="B936" s="14"/>
      <c r="E936" s="18"/>
      <c r="F936" s="18"/>
      <c r="G936" s="18"/>
    </row>
    <row r="937">
      <c r="B937" s="14"/>
      <c r="E937" s="18"/>
      <c r="F937" s="18"/>
      <c r="G937" s="18"/>
    </row>
    <row r="938">
      <c r="B938" s="14"/>
      <c r="E938" s="18"/>
      <c r="F938" s="18"/>
      <c r="G938" s="18"/>
    </row>
    <row r="939">
      <c r="B939" s="14"/>
      <c r="E939" s="18"/>
      <c r="F939" s="18"/>
      <c r="G939" s="18"/>
    </row>
    <row r="940">
      <c r="B940" s="14"/>
      <c r="E940" s="18"/>
      <c r="F940" s="18"/>
      <c r="G940" s="18"/>
    </row>
    <row r="941">
      <c r="B941" s="14"/>
      <c r="E941" s="18"/>
      <c r="F941" s="18"/>
      <c r="G941" s="18"/>
    </row>
    <row r="942">
      <c r="B942" s="14"/>
      <c r="E942" s="18"/>
      <c r="F942" s="18"/>
      <c r="G942" s="18"/>
    </row>
    <row r="943">
      <c r="B943" s="14"/>
      <c r="E943" s="18"/>
      <c r="F943" s="18"/>
      <c r="G943" s="18"/>
    </row>
    <row r="944">
      <c r="B944" s="14"/>
      <c r="E944" s="18"/>
      <c r="F944" s="18"/>
      <c r="G944" s="18"/>
    </row>
    <row r="945">
      <c r="B945" s="14"/>
      <c r="E945" s="18"/>
      <c r="F945" s="18"/>
      <c r="G945" s="18"/>
    </row>
    <row r="946">
      <c r="B946" s="14"/>
      <c r="E946" s="18"/>
      <c r="F946" s="18"/>
      <c r="G946" s="18"/>
    </row>
    <row r="947">
      <c r="B947" s="14"/>
      <c r="E947" s="18"/>
      <c r="F947" s="18"/>
      <c r="G947" s="18"/>
    </row>
    <row r="948">
      <c r="B948" s="14"/>
      <c r="E948" s="18"/>
      <c r="F948" s="18"/>
      <c r="G948" s="18"/>
    </row>
    <row r="949">
      <c r="B949" s="14"/>
      <c r="E949" s="18"/>
      <c r="F949" s="18"/>
      <c r="G949" s="18"/>
    </row>
    <row r="950">
      <c r="B950" s="14"/>
      <c r="E950" s="18"/>
      <c r="F950" s="18"/>
      <c r="G950" s="18"/>
    </row>
    <row r="951">
      <c r="B951" s="14"/>
      <c r="E951" s="18"/>
      <c r="F951" s="18"/>
      <c r="G951" s="18"/>
    </row>
    <row r="952">
      <c r="B952" s="14"/>
      <c r="E952" s="18"/>
      <c r="F952" s="18"/>
      <c r="G952" s="18"/>
    </row>
    <row r="953">
      <c r="B953" s="14"/>
      <c r="E953" s="18"/>
      <c r="F953" s="18"/>
      <c r="G953" s="18"/>
    </row>
    <row r="954">
      <c r="B954" s="14"/>
      <c r="E954" s="18"/>
      <c r="F954" s="18"/>
      <c r="G954" s="18"/>
    </row>
    <row r="955">
      <c r="B955" s="14"/>
      <c r="E955" s="18"/>
      <c r="F955" s="18"/>
      <c r="G955" s="18"/>
    </row>
    <row r="956">
      <c r="B956" s="14"/>
      <c r="E956" s="18"/>
      <c r="F956" s="18"/>
      <c r="G956" s="18"/>
    </row>
    <row r="957">
      <c r="B957" s="14"/>
      <c r="E957" s="18"/>
      <c r="F957" s="18"/>
      <c r="G957" s="18"/>
    </row>
    <row r="958">
      <c r="B958" s="14"/>
      <c r="E958" s="18"/>
      <c r="F958" s="18"/>
      <c r="G958" s="18"/>
    </row>
    <row r="959">
      <c r="B959" s="14"/>
      <c r="E959" s="18"/>
      <c r="F959" s="18"/>
      <c r="G959" s="18"/>
    </row>
    <row r="960">
      <c r="B960" s="14"/>
      <c r="E960" s="18"/>
      <c r="F960" s="18"/>
      <c r="G960" s="18"/>
    </row>
    <row r="961">
      <c r="B961" s="14"/>
      <c r="E961" s="18"/>
      <c r="F961" s="18"/>
      <c r="G961" s="18"/>
    </row>
    <row r="962">
      <c r="B962" s="14"/>
      <c r="E962" s="18"/>
      <c r="F962" s="18"/>
      <c r="G962" s="18"/>
    </row>
    <row r="963">
      <c r="B963" s="14"/>
      <c r="E963" s="18"/>
      <c r="F963" s="18"/>
      <c r="G963" s="18"/>
    </row>
    <row r="964">
      <c r="B964" s="14"/>
      <c r="E964" s="18"/>
      <c r="F964" s="18"/>
      <c r="G964" s="18"/>
    </row>
    <row r="965">
      <c r="B965" s="14"/>
      <c r="E965" s="18"/>
      <c r="F965" s="18"/>
      <c r="G965" s="18"/>
    </row>
    <row r="966">
      <c r="B966" s="14"/>
      <c r="E966" s="18"/>
      <c r="F966" s="18"/>
      <c r="G966" s="18"/>
    </row>
    <row r="967">
      <c r="B967" s="14"/>
      <c r="E967" s="18"/>
      <c r="F967" s="18"/>
      <c r="G967" s="18"/>
    </row>
    <row r="968">
      <c r="B968" s="14"/>
      <c r="E968" s="18"/>
      <c r="F968" s="18"/>
      <c r="G968" s="18"/>
    </row>
    <row r="969">
      <c r="B969" s="14"/>
      <c r="E969" s="18"/>
      <c r="F969" s="18"/>
      <c r="G969" s="18"/>
    </row>
    <row r="970">
      <c r="B970" s="14"/>
      <c r="E970" s="18"/>
      <c r="F970" s="18"/>
      <c r="G970" s="18"/>
    </row>
    <row r="971">
      <c r="B971" s="14"/>
      <c r="E971" s="18"/>
      <c r="F971" s="18"/>
      <c r="G971" s="18"/>
    </row>
    <row r="972">
      <c r="B972" s="14"/>
      <c r="E972" s="18"/>
      <c r="F972" s="18"/>
      <c r="G972" s="18"/>
    </row>
    <row r="973">
      <c r="B973" s="14"/>
      <c r="E973" s="18"/>
      <c r="F973" s="18"/>
      <c r="G973" s="18"/>
    </row>
    <row r="974">
      <c r="B974" s="14"/>
      <c r="E974" s="18"/>
      <c r="F974" s="18"/>
      <c r="G974" s="18"/>
    </row>
    <row r="975">
      <c r="B975" s="14"/>
      <c r="E975" s="18"/>
      <c r="F975" s="18"/>
      <c r="G975" s="18"/>
    </row>
    <row r="976">
      <c r="B976" s="14"/>
      <c r="E976" s="18"/>
      <c r="F976" s="18"/>
      <c r="G976" s="18"/>
    </row>
    <row r="977">
      <c r="B977" s="14"/>
      <c r="E977" s="18"/>
      <c r="F977" s="18"/>
      <c r="G977" s="18"/>
    </row>
    <row r="978">
      <c r="B978" s="14"/>
      <c r="E978" s="18"/>
      <c r="F978" s="18"/>
      <c r="G978" s="18"/>
    </row>
    <row r="979">
      <c r="B979" s="14"/>
      <c r="E979" s="18"/>
      <c r="F979" s="18"/>
      <c r="G979" s="18"/>
    </row>
    <row r="980">
      <c r="B980" s="14"/>
      <c r="E980" s="18"/>
      <c r="F980" s="18"/>
      <c r="G980" s="18"/>
    </row>
    <row r="981">
      <c r="B981" s="14"/>
      <c r="E981" s="18"/>
      <c r="F981" s="18"/>
      <c r="G981" s="18"/>
    </row>
    <row r="982">
      <c r="B982" s="14"/>
      <c r="E982" s="18"/>
      <c r="F982" s="18"/>
      <c r="G982" s="18"/>
    </row>
    <row r="983">
      <c r="B983" s="14"/>
      <c r="E983" s="18"/>
      <c r="F983" s="18"/>
      <c r="G983" s="18"/>
    </row>
    <row r="984">
      <c r="B984" s="14"/>
      <c r="E984" s="18"/>
      <c r="F984" s="18"/>
      <c r="G984" s="18"/>
    </row>
    <row r="985">
      <c r="B985" s="14"/>
      <c r="E985" s="18"/>
      <c r="F985" s="18"/>
      <c r="G985" s="18"/>
    </row>
    <row r="986">
      <c r="B986" s="14"/>
      <c r="E986" s="18"/>
      <c r="F986" s="18"/>
      <c r="G986" s="18"/>
    </row>
    <row r="987">
      <c r="B987" s="14"/>
      <c r="E987" s="18"/>
      <c r="F987" s="18"/>
      <c r="G987" s="18"/>
    </row>
    <row r="988">
      <c r="B988" s="14"/>
      <c r="E988" s="18"/>
      <c r="F988" s="18"/>
      <c r="G988" s="18"/>
    </row>
    <row r="989">
      <c r="B989" s="14"/>
      <c r="E989" s="18"/>
      <c r="F989" s="18"/>
      <c r="G989" s="18"/>
    </row>
    <row r="990">
      <c r="B990" s="14"/>
      <c r="E990" s="18"/>
      <c r="F990" s="18"/>
      <c r="G990" s="18"/>
    </row>
    <row r="991">
      <c r="B991" s="14"/>
      <c r="E991" s="18"/>
      <c r="F991" s="18"/>
      <c r="G991" s="18"/>
    </row>
    <row r="992">
      <c r="B992" s="14"/>
      <c r="E992" s="18"/>
      <c r="F992" s="18"/>
      <c r="G992" s="18"/>
    </row>
    <row r="993">
      <c r="B993" s="14"/>
      <c r="E993" s="18"/>
      <c r="F993" s="18"/>
      <c r="G993" s="18"/>
    </row>
    <row r="994">
      <c r="B994" s="14"/>
      <c r="E994" s="18"/>
      <c r="F994" s="18"/>
      <c r="G994" s="18"/>
    </row>
    <row r="995">
      <c r="B995" s="14"/>
      <c r="E995" s="18"/>
      <c r="F995" s="18"/>
      <c r="G995" s="18"/>
    </row>
    <row r="996">
      <c r="B996" s="14"/>
      <c r="E996" s="18"/>
      <c r="F996" s="18"/>
      <c r="G996" s="18"/>
    </row>
    <row r="997">
      <c r="B997" s="14"/>
      <c r="E997" s="18"/>
      <c r="F997" s="18"/>
      <c r="G997" s="18"/>
    </row>
    <row r="998">
      <c r="B998" s="14"/>
      <c r="E998" s="18"/>
      <c r="F998" s="18"/>
      <c r="G998" s="18"/>
    </row>
    <row r="999">
      <c r="B999" s="14"/>
      <c r="E999" s="18"/>
      <c r="F999" s="18"/>
      <c r="G999" s="18"/>
    </row>
    <row r="1000">
      <c r="B1000" s="14"/>
      <c r="E1000" s="18"/>
      <c r="F1000" s="18"/>
      <c r="G1000" s="1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tr">
        <f t="array" ref="A1:ALO2">Transpose('Past Freezes'!A:B)</f>
        <v/>
      </c>
      <c r="B1" s="11" t="s">
        <v>0</v>
      </c>
      <c r="C1" s="15">
        <v>44330.0</v>
      </c>
      <c r="D1" s="15">
        <v>44337.0</v>
      </c>
      <c r="E1" s="15">
        <v>44340.0</v>
      </c>
      <c r="F1" s="15">
        <v>44344.0</v>
      </c>
      <c r="G1" s="15">
        <v>44351.0</v>
      </c>
      <c r="H1" s="15">
        <v>44358.0</v>
      </c>
      <c r="I1" s="15">
        <v>44365.0</v>
      </c>
      <c r="J1" s="15">
        <v>44372.0</v>
      </c>
      <c r="K1" s="15">
        <v>44377.0</v>
      </c>
      <c r="L1" s="15">
        <v>44386.0</v>
      </c>
      <c r="M1" s="15">
        <v>44393.0</v>
      </c>
      <c r="N1" s="15">
        <v>44400.0</v>
      </c>
      <c r="O1" s="15">
        <v>44407.0</v>
      </c>
      <c r="P1" s="15">
        <v>44411.0</v>
      </c>
      <c r="Q1" s="15">
        <v>44414.0</v>
      </c>
      <c r="R1" s="15">
        <v>44418.0</v>
      </c>
      <c r="S1" s="15">
        <v>44421.0</v>
      </c>
      <c r="T1" s="15">
        <v>44428.0</v>
      </c>
      <c r="U1" s="11" t="s">
        <v>22</v>
      </c>
      <c r="V1" s="15">
        <v>44432.0</v>
      </c>
      <c r="W1" s="15">
        <v>44435.0</v>
      </c>
      <c r="X1" s="15">
        <v>44439.0</v>
      </c>
      <c r="Y1" s="11" t="s">
        <v>27</v>
      </c>
      <c r="Z1" s="15">
        <v>44442.0</v>
      </c>
      <c r="AA1" s="15">
        <v>44446.0</v>
      </c>
      <c r="AB1" s="11" t="s">
        <v>31</v>
      </c>
      <c r="AC1" s="15">
        <v>44456.0</v>
      </c>
      <c r="AD1" s="11" t="s">
        <v>34</v>
      </c>
      <c r="AE1" s="11" t="s">
        <v>36</v>
      </c>
      <c r="AF1" s="11" t="s">
        <v>38</v>
      </c>
      <c r="AG1" s="11" t="s">
        <v>40</v>
      </c>
      <c r="AH1" s="11" t="s">
        <v>42</v>
      </c>
      <c r="AI1" s="11" t="s">
        <v>44</v>
      </c>
      <c r="AJ1" s="11" t="s">
        <v>46</v>
      </c>
      <c r="AK1" s="11" t="s">
        <v>48</v>
      </c>
      <c r="AL1" s="11" t="s">
        <v>50</v>
      </c>
      <c r="AM1" s="11" t="s">
        <v>52</v>
      </c>
      <c r="AN1" s="11" t="s">
        <v>54</v>
      </c>
      <c r="AO1" s="11" t="s">
        <v>56</v>
      </c>
      <c r="AP1" s="11" t="s">
        <v>58</v>
      </c>
      <c r="AQ1" s="11" t="s">
        <v>60</v>
      </c>
      <c r="AR1" s="11" t="s">
        <v>62</v>
      </c>
      <c r="AS1" s="11" t="s">
        <v>64</v>
      </c>
      <c r="AT1" s="11" t="s">
        <v>66</v>
      </c>
      <c r="AU1" s="11" t="s">
        <v>68</v>
      </c>
      <c r="AV1" s="11" t="s">
        <v>70</v>
      </c>
      <c r="AW1" s="11" t="s">
        <v>72</v>
      </c>
      <c r="AX1" s="11" t="s">
        <v>74</v>
      </c>
      <c r="AY1" s="11" t="s">
        <v>76</v>
      </c>
      <c r="AZ1" s="11" t="s">
        <v>78</v>
      </c>
      <c r="BA1" s="11" t="s">
        <v>80</v>
      </c>
      <c r="BB1" s="11" t="s">
        <v>82</v>
      </c>
      <c r="BC1" s="11"/>
      <c r="BD1" s="11"/>
      <c r="BE1" s="11"/>
      <c r="BF1" s="11"/>
      <c r="BG1" s="11"/>
      <c r="BH1" s="11"/>
      <c r="BI1" s="11"/>
    </row>
    <row r="2">
      <c r="A2" s="11"/>
      <c r="B2" s="11" t="s">
        <v>1</v>
      </c>
      <c r="C2" s="21" t="s">
        <v>4</v>
      </c>
      <c r="D2" s="21" t="s">
        <v>5</v>
      </c>
      <c r="E2" s="21" t="s">
        <v>6</v>
      </c>
      <c r="F2" s="21" t="s">
        <v>7</v>
      </c>
      <c r="G2" s="21" t="s">
        <v>8</v>
      </c>
      <c r="H2" s="21" t="s">
        <v>9</v>
      </c>
      <c r="I2" s="21" t="s">
        <v>10</v>
      </c>
      <c r="J2" s="21" t="s">
        <v>11</v>
      </c>
      <c r="K2" s="21" t="s">
        <v>12</v>
      </c>
      <c r="L2" s="21" t="s">
        <v>13</v>
      </c>
      <c r="M2" s="21" t="s">
        <v>14</v>
      </c>
      <c r="N2" s="21" t="s">
        <v>15</v>
      </c>
      <c r="O2" s="21" t="s">
        <v>16</v>
      </c>
      <c r="P2" s="21" t="s">
        <v>17</v>
      </c>
      <c r="Q2" s="21" t="s">
        <v>18</v>
      </c>
      <c r="R2" s="21" t="s">
        <v>19</v>
      </c>
      <c r="S2" s="21" t="s">
        <v>20</v>
      </c>
      <c r="T2" s="21" t="s">
        <v>21</v>
      </c>
      <c r="U2" s="21" t="s">
        <v>23</v>
      </c>
      <c r="V2" s="21" t="s">
        <v>24</v>
      </c>
      <c r="W2" s="21" t="s">
        <v>25</v>
      </c>
      <c r="X2" s="21" t="s">
        <v>26</v>
      </c>
      <c r="Y2" s="21" t="s">
        <v>28</v>
      </c>
      <c r="Z2" s="21" t="s">
        <v>29</v>
      </c>
      <c r="AA2" s="21" t="s">
        <v>30</v>
      </c>
      <c r="AB2" s="21" t="s">
        <v>32</v>
      </c>
      <c r="AC2" s="21" t="s">
        <v>33</v>
      </c>
      <c r="AD2" s="21" t="s">
        <v>35</v>
      </c>
      <c r="AE2" s="21" t="s">
        <v>37</v>
      </c>
      <c r="AF2" s="21" t="s">
        <v>39</v>
      </c>
      <c r="AG2" s="21" t="s">
        <v>41</v>
      </c>
      <c r="AH2" s="21" t="s">
        <v>43</v>
      </c>
      <c r="AI2" s="21" t="s">
        <v>45</v>
      </c>
      <c r="AJ2" s="21" t="s">
        <v>47</v>
      </c>
      <c r="AK2" s="21" t="s">
        <v>49</v>
      </c>
      <c r="AL2" s="21" t="s">
        <v>51</v>
      </c>
      <c r="AM2" s="21" t="s">
        <v>53</v>
      </c>
      <c r="AN2" s="21" t="s">
        <v>55</v>
      </c>
      <c r="AO2" s="21" t="s">
        <v>57</v>
      </c>
      <c r="AP2" s="21" t="s">
        <v>59</v>
      </c>
      <c r="AQ2" s="21" t="s">
        <v>61</v>
      </c>
      <c r="AR2" s="21" t="s">
        <v>63</v>
      </c>
      <c r="AS2" s="21" t="s">
        <v>65</v>
      </c>
      <c r="AT2" s="21" t="s">
        <v>67</v>
      </c>
      <c r="AU2" s="21" t="s">
        <v>69</v>
      </c>
      <c r="AV2" s="21" t="s">
        <v>71</v>
      </c>
      <c r="AW2" s="21" t="s">
        <v>73</v>
      </c>
      <c r="AX2" s="21" t="s">
        <v>75</v>
      </c>
      <c r="AY2" s="21" t="s">
        <v>77</v>
      </c>
      <c r="AZ2" s="21" t="s">
        <v>79</v>
      </c>
      <c r="BA2" s="21" t="s">
        <v>81</v>
      </c>
      <c r="BB2" s="21" t="s">
        <v>83</v>
      </c>
      <c r="BC2" s="11"/>
      <c r="BD2" s="11"/>
      <c r="BE2" s="11"/>
      <c r="BF2" s="11"/>
      <c r="BG2" s="11"/>
      <c r="BH2" s="11"/>
      <c r="BI2" s="11"/>
    </row>
    <row r="4">
      <c r="B4" s="9" t="s">
        <v>96</v>
      </c>
      <c r="C4" s="11" t="str">
        <f>IFERROR(__xludf.DUMMYFUNCTION("IMPORTRANGE(C2,""Summary - By Coin!A3:A3"")"),"BTC")</f>
        <v>BTC</v>
      </c>
      <c r="D4" s="22">
        <f>IFERROR(__xludf.DUMMYFUNCTION("IMPORTRANGE(D2,""Summary - By Coin!F4:F4"")"),36495.41587236)</f>
        <v>36495.41587</v>
      </c>
      <c r="E4" s="11" t="str">
        <f>IFERROR(__xludf.DUMMYFUNCTION("IMPORTRANGE(E2,""Summary - By Coin!A4:A4"")"),"BTC")</f>
        <v>BTC</v>
      </c>
      <c r="F4" s="11" t="str">
        <f>IFERROR(__xludf.DUMMYFUNCTION("IMPORTRANGE(F2,""Summary - By Coin!A4:A4"")"),"BTC")</f>
        <v>BTC</v>
      </c>
      <c r="G4" s="11" t="str">
        <f>IFERROR(__xludf.DUMMYFUNCTION("IMPORTRANGE(G2,""Summary - By Coin!A4:A4"")"),"BTC")</f>
        <v>BTC</v>
      </c>
      <c r="H4" s="11" t="str">
        <f>IFERROR(__xludf.DUMMYFUNCTION("IMPORTRANGE(H2,""Summary - By Coin!A4:A4"")"),"BTC")</f>
        <v>BTC</v>
      </c>
      <c r="I4" s="11" t="str">
        <f>IFERROR(__xludf.DUMMYFUNCTION("IMPORTRANGE(I2,""Summary - By Coin!A4:A4"")"),"BTC")</f>
        <v>BTC</v>
      </c>
      <c r="J4" s="11" t="str">
        <f>IFERROR(__xludf.DUMMYFUNCTION("IMPORTRANGE(J2,""Summary - By Coin!A4:A4"")"),"BTC")</f>
        <v>BTC</v>
      </c>
      <c r="K4" s="11" t="str">
        <f>IFERROR(__xludf.DUMMYFUNCTION("IMPORTRANGE(K2,""Summary - By Coin!A4:A4"")"),"BTC")</f>
        <v>BTC</v>
      </c>
    </row>
    <row r="5">
      <c r="B5" s="9" t="s">
        <v>97</v>
      </c>
    </row>
  </sheetData>
  <hyperlinks>
    <hyperlink r:id="rId1" location="gid=2135279250" ref="C2"/>
    <hyperlink r:id="rId2" location="gid=622029069" ref="D2"/>
    <hyperlink r:id="rId3" location="gid=622029069" ref="E2"/>
    <hyperlink r:id="rId4" location="gid=622029069" ref="F2"/>
    <hyperlink r:id="rId5" location="gid=622029069" ref="G2"/>
    <hyperlink r:id="rId6" location="gid=622029069" ref="H2"/>
    <hyperlink r:id="rId7" location="gid=622029069" ref="I2"/>
    <hyperlink r:id="rId8" location="gid=622029069" ref="J2"/>
    <hyperlink r:id="rId9" location="gid=622029069" ref="K2"/>
    <hyperlink r:id="rId10" location="gid=622029069" ref="L2"/>
    <hyperlink r:id="rId11" location="gid=622029069" ref="M2"/>
    <hyperlink r:id="rId12" location="gid=622029069" ref="N2"/>
    <hyperlink r:id="rId13" location="gid=622029069" ref="O2"/>
    <hyperlink r:id="rId14" location="gid=622029069" ref="P2"/>
    <hyperlink r:id="rId15" location="gid=622029069" ref="Q2"/>
    <hyperlink r:id="rId16" location="gid=622029069" ref="R2"/>
    <hyperlink r:id="rId17" location="gid=622029069" ref="S2"/>
    <hyperlink r:id="rId18" location="gid=622029069" ref="T2"/>
    <hyperlink r:id="rId19" location="gid=622029069" ref="U2"/>
    <hyperlink r:id="rId20" location="gid=622029069" ref="V2"/>
    <hyperlink r:id="rId21" location="gid=622029069" ref="W2"/>
    <hyperlink r:id="rId22" location="gid=622029069" ref="X2"/>
    <hyperlink r:id="rId23" location="gid=622029069" ref="Y2"/>
    <hyperlink r:id="rId24" location="gid=622029069" ref="Z2"/>
    <hyperlink r:id="rId25" location="gid=622029069" ref="AA2"/>
    <hyperlink r:id="rId26" location="gid=263247883" ref="AB2"/>
    <hyperlink r:id="rId27" location="gid=622029069" ref="AC2"/>
    <hyperlink r:id="rId28" location="gid=263247883" ref="AD2"/>
    <hyperlink r:id="rId29" location="gid=1256055019" ref="AE2"/>
    <hyperlink r:id="rId30" location="gid=0" ref="AF2"/>
    <hyperlink r:id="rId31" location="gid=263247883" ref="AG2"/>
    <hyperlink r:id="rId32" location="gid=263247883" ref="AH2"/>
    <hyperlink r:id="rId33" location="gid=263247883" ref="AI2"/>
    <hyperlink r:id="rId34" location="gid=0" ref="AJ2"/>
    <hyperlink r:id="rId35" location="gid=0" ref="AK2"/>
    <hyperlink r:id="rId36" location="gid=263247883" ref="AL2"/>
    <hyperlink r:id="rId37" location="gid=263247883" ref="AM2"/>
    <hyperlink r:id="rId38" location="gid=0" ref="AN2"/>
    <hyperlink r:id="rId39" location="gid=1630204704" ref="AO2"/>
    <hyperlink r:id="rId40" location="gid=0" ref="AP2"/>
    <hyperlink r:id="rId41" location="gid=0" ref="AQ2"/>
    <hyperlink r:id="rId42" location="gid=0" ref="AR2"/>
    <hyperlink r:id="rId43" location="gid=0" ref="AS2"/>
    <hyperlink r:id="rId44" location="gid=0" ref="AT2"/>
    <hyperlink r:id="rId45" location="gid=0" ref="AU2"/>
    <hyperlink r:id="rId46" location="gid=1827643887" ref="AV2"/>
    <hyperlink r:id="rId47" location="gid=0" ref="AW2"/>
    <hyperlink r:id="rId48" location="gid=0" ref="AX2"/>
    <hyperlink r:id="rId49" location="gid=0((((" ref="AY2"/>
    <hyperlink r:id="rId50" location="gid=0" ref="AZ2"/>
    <hyperlink r:id="rId51" location="gid=0" ref="BA2"/>
    <hyperlink r:id="rId52" location="gid=0" ref="BB2"/>
  </hyperlinks>
  <drawing r:id="rId5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3.57"/>
    <col customWidth="1" min="2" max="2" width="16.71"/>
    <col customWidth="1" min="5" max="5" width="15.0"/>
    <col customWidth="1" min="6" max="6" width="21.57"/>
    <col customWidth="1" min="7" max="7" width="10.71"/>
    <col customWidth="1" min="8" max="8" width="12.29"/>
    <col customWidth="1" min="9" max="9" width="21.71"/>
    <col customWidth="1" min="10" max="10" width="19.0"/>
    <col customWidth="1" min="11" max="11" width="26.14"/>
    <col customWidth="1" min="12" max="15" width="18.14"/>
    <col customWidth="1" min="17" max="17" width="18.86"/>
  </cols>
  <sheetData>
    <row r="1">
      <c r="A1" s="9" t="s">
        <v>98</v>
      </c>
      <c r="B1" s="9" t="s">
        <v>99</v>
      </c>
      <c r="C1" s="9"/>
      <c r="D1" s="23" t="s">
        <v>100</v>
      </c>
      <c r="E1" s="9" t="s">
        <v>101</v>
      </c>
      <c r="F1" s="9" t="s">
        <v>102</v>
      </c>
      <c r="G1" s="9" t="s">
        <v>103</v>
      </c>
      <c r="H1" s="9" t="s">
        <v>104</v>
      </c>
      <c r="I1" s="9" t="s">
        <v>105</v>
      </c>
      <c r="J1" s="9" t="s">
        <v>106</v>
      </c>
      <c r="K1" s="9" t="s">
        <v>107</v>
      </c>
      <c r="L1" s="9" t="s">
        <v>108</v>
      </c>
      <c r="M1" s="9" t="s">
        <v>109</v>
      </c>
      <c r="N1" s="9" t="s">
        <v>110</v>
      </c>
      <c r="O1" s="9" t="s">
        <v>111</v>
      </c>
      <c r="P1" s="9" t="s">
        <v>112</v>
      </c>
      <c r="Q1" s="24" t="s">
        <v>113</v>
      </c>
      <c r="R1" s="9" t="s">
        <v>114</v>
      </c>
      <c r="S1" s="9" t="s">
        <v>115</v>
      </c>
      <c r="T1" s="9" t="s">
        <v>116</v>
      </c>
    </row>
    <row r="2">
      <c r="A2" s="15">
        <f>'Past Freezes'!A24</f>
        <v>44439</v>
      </c>
      <c r="B2" s="25">
        <v>44439.0</v>
      </c>
      <c r="C2" s="16" t="str">
        <f>'Past Freezes'!B24</f>
        <v>https://docs.google.com/spreadsheets/d/1AlmGrWNltLFMiji81gfezXTQT4mb_1OMwPfIzzZXTrM/edit#gid=622029069</v>
      </c>
      <c r="D2" s="26" t="s">
        <v>117</v>
      </c>
      <c r="E2" s="27">
        <f>IFERROR(__xludf.DUMMYFUNCTION("-IMPORTRANGE(C2,""Coin stats!K""&amp;$A$28)"),1.11142215233411E9)</f>
        <v>1111422152</v>
      </c>
      <c r="F2" s="27">
        <f t="shared" ref="F2:F22" si="1">D2+E2</f>
        <v>2865752152</v>
      </c>
      <c r="G2" s="27" t="s">
        <v>118</v>
      </c>
      <c r="H2" s="28">
        <f>IFERROR(__xludf.DUMMYFUNCTION("IMPORTRANGE(C2,""Coin stats!B23"")"),47314.94687446401)</f>
        <v>47314.94687</v>
      </c>
      <c r="I2" s="27">
        <f t="shared" ref="I2:I22" si="2">H2*G2</f>
        <v>2691700013</v>
      </c>
      <c r="J2" s="29" t="s">
        <v>119</v>
      </c>
      <c r="K2" s="27">
        <f t="shared" ref="K2:K13" si="3">I2+2.8*E2</f>
        <v>5803682039</v>
      </c>
      <c r="L2" s="27">
        <f t="shared" ref="L2:L22" si="4">M2+S2</f>
        <v>2382535034</v>
      </c>
      <c r="M2" s="27">
        <v>2.382535034328972E9</v>
      </c>
      <c r="N2" s="27">
        <f>IFERROR(__xludf.DUMMYFUNCTION("IMPORTRANGE(C2,""Summary - By Business line!C51"")"),2.19474831878095E10)</f>
        <v>21947483188</v>
      </c>
      <c r="O2" s="27">
        <f>IFERROR(__xludf.DUMMYFUNCTION("IMPORTRANGE(C2,""Summary - By Business line!C7"")"),1.7309787568425877E9)</f>
        <v>1730978757</v>
      </c>
      <c r="P2" s="30">
        <f>IFERROR(__xludf.DUMMYFUNCTION("IMPORTRANGE(C2,""Summary - By Business line!C6"")"),1.5924222388341005E9)</f>
        <v>1592422239</v>
      </c>
      <c r="Q2" s="27">
        <f t="shared" ref="Q2:Q22" si="5">N2-O2-P2</f>
        <v>18624082192</v>
      </c>
      <c r="R2" s="31">
        <f t="shared" ref="R2:R22" si="6">L2/Q2</f>
        <v>0.1279276482</v>
      </c>
      <c r="S2" s="9">
        <v>0.0</v>
      </c>
      <c r="T2" s="31">
        <f t="shared" ref="T2:T22" si="7">(M2+K2)/Q2</f>
        <v>0.4395500938</v>
      </c>
    </row>
    <row r="3">
      <c r="A3" s="15">
        <f>'Past Freezes'!A26</f>
        <v>44442</v>
      </c>
      <c r="B3" s="25">
        <v>44442.0</v>
      </c>
      <c r="C3" s="16" t="str">
        <f>'Past Freezes'!B26</f>
        <v>https://docs.google.com/spreadsheets/d/1dG8t2eOeVsdfRM0e-p5MxIJKUU2wJo-LGNnRM4oLMsc/edit#gid=622029069</v>
      </c>
      <c r="D3" s="26" t="s">
        <v>120</v>
      </c>
      <c r="E3" s="27">
        <f>IFERROR(__xludf.DUMMYFUNCTION("-IMPORTRANGE(C3,""Coin stats!K""&amp;$A$28)"),1.2799868833380659E9)</f>
        <v>1279986883</v>
      </c>
      <c r="F3" s="27">
        <f t="shared" si="1"/>
        <v>3234316883</v>
      </c>
      <c r="G3" s="27" t="s">
        <v>121</v>
      </c>
      <c r="H3" s="28">
        <f>IFERROR(__xludf.DUMMYFUNCTION("IMPORTRANGE(C3,""Coin stats!B23"")"),49995.962811072844)</f>
        <v>49995.96281</v>
      </c>
      <c r="I3" s="27">
        <f t="shared" si="2"/>
        <v>3124247716</v>
      </c>
      <c r="J3" s="29" t="s">
        <v>119</v>
      </c>
      <c r="K3" s="27">
        <f t="shared" si="3"/>
        <v>6708210989</v>
      </c>
      <c r="L3" s="27">
        <f t="shared" si="4"/>
        <v>2954290016</v>
      </c>
      <c r="M3" s="27">
        <v>2.9542900157325897E9</v>
      </c>
      <c r="N3" s="27">
        <f>IFERROR(__xludf.DUMMYFUNCTION("IMPORTRANGE(C3,""Summary - By Business line!C51"")"),2.4593687015943443E10)</f>
        <v>24593687016</v>
      </c>
      <c r="O3" s="27">
        <f>IFERROR(__xludf.DUMMYFUNCTION("IMPORTRANGE(C3,""Summary - By Business line!C7"")"),1.9907532451039827E9)</f>
        <v>1990753245</v>
      </c>
      <c r="P3" s="30">
        <f>IFERROR(__xludf.DUMMYFUNCTION("IMPORTRANGE(C3,""Summary - By Business line!C6"")"),1.8314058403056638E9)</f>
        <v>1831405840</v>
      </c>
      <c r="Q3" s="27">
        <f t="shared" si="5"/>
        <v>20771527931</v>
      </c>
      <c r="R3" s="31">
        <f t="shared" si="6"/>
        <v>0.1422278624</v>
      </c>
      <c r="S3" s="9">
        <v>0.0</v>
      </c>
      <c r="T3" s="31">
        <f t="shared" si="7"/>
        <v>0.4651800791</v>
      </c>
    </row>
    <row r="4">
      <c r="A4" s="15">
        <f>'Past Freezes'!A27</f>
        <v>44446</v>
      </c>
      <c r="B4" s="25">
        <v>44446.0</v>
      </c>
      <c r="C4" s="16" t="str">
        <f>'Past Freezes'!B27</f>
        <v>https://docs.google.com/spreadsheets/d/1FCZG2t4HXOOq6Ge8Wf7INMgha7_ts_V18n4GaX9ROXs/edit#gid=622029069</v>
      </c>
      <c r="D4" s="26" t="s">
        <v>122</v>
      </c>
      <c r="E4" s="27">
        <f>IFERROR(__xludf.DUMMYFUNCTION("-IMPORTRANGE(C4,""Coin stats!K""&amp;$A$28)"),1.234070435939543E9)</f>
        <v>1234070436</v>
      </c>
      <c r="F4" s="27">
        <f t="shared" si="1"/>
        <v>3218400436</v>
      </c>
      <c r="G4" s="27" t="s">
        <v>123</v>
      </c>
      <c r="H4" s="28">
        <f>IFERROR(__xludf.DUMMYFUNCTION("IMPORTRANGE(C4,""Coin stats!B23"")"),47001.718617725375)</f>
        <v>47001.71862</v>
      </c>
      <c r="I4" s="27">
        <f t="shared" si="2"/>
        <v>2975678806</v>
      </c>
      <c r="J4" s="29" t="s">
        <v>119</v>
      </c>
      <c r="K4" s="27">
        <f t="shared" si="3"/>
        <v>6431076026</v>
      </c>
      <c r="L4" s="27">
        <f t="shared" si="4"/>
        <v>3020991411</v>
      </c>
      <c r="M4" s="27">
        <v>3.0209914107924747E9</v>
      </c>
      <c r="N4" s="27">
        <f>IFERROR(__xludf.DUMMYFUNCTION("IMPORTRANGE(C4,""Summary - By Business line!C51"")"),2.2999814965706776E10)</f>
        <v>22999814966</v>
      </c>
      <c r="O4" s="27">
        <f>IFERROR(__xludf.DUMMYFUNCTION("IMPORTRANGE(C4,""Summary - By Business line!C7"")"),1.823874399375835E9)</f>
        <v>1823874399</v>
      </c>
      <c r="P4" s="30">
        <f>IFERROR(__xludf.DUMMYFUNCTION("IMPORTRANGE(C4,""Summary - By Business line!C6"")"),1.6838702025376823E9)</f>
        <v>1683870203</v>
      </c>
      <c r="Q4" s="27">
        <f t="shared" si="5"/>
        <v>19492070364</v>
      </c>
      <c r="R4" s="31">
        <f t="shared" si="6"/>
        <v>0.1549856611</v>
      </c>
      <c r="S4" s="9">
        <v>0.0</v>
      </c>
      <c r="T4" s="31">
        <f t="shared" si="7"/>
        <v>0.4849185982</v>
      </c>
    </row>
    <row r="5">
      <c r="A5" s="11" t="str">
        <f>'Past Freezes'!A28</f>
        <v>September 10- prelim</v>
      </c>
      <c r="B5" s="25">
        <v>44449.0</v>
      </c>
      <c r="C5" s="16" t="str">
        <f>'Past Freezes'!B28</f>
        <v>https://docs.google.com/spreadsheets/d/147ZIb29xXZ8_wwQYOyC_LpF1qNTomYQy8yVOmknBezw/edit#gid=263247883</v>
      </c>
      <c r="D5" s="26" t="s">
        <v>122</v>
      </c>
      <c r="E5" s="27">
        <f>IFERROR(__xludf.DUMMYFUNCTION("IMPORTRANGE(C5,""Coin stats!K""&amp;$A$28)*-1"),1.3021752349054015E9)</f>
        <v>1302175235</v>
      </c>
      <c r="F5" s="27">
        <f t="shared" si="1"/>
        <v>3286505235</v>
      </c>
      <c r="G5" s="27" t="s">
        <v>123</v>
      </c>
      <c r="H5" s="28">
        <f>IFERROR(__xludf.DUMMYFUNCTION("IMPORTRANGE(C5,""Coin stats!B23"")"),46445.900639364605)</f>
        <v>46445.90064</v>
      </c>
      <c r="I5" s="27">
        <f t="shared" si="2"/>
        <v>2940489969</v>
      </c>
      <c r="J5" s="29" t="s">
        <v>119</v>
      </c>
      <c r="K5" s="27">
        <f t="shared" si="3"/>
        <v>6586580627</v>
      </c>
      <c r="L5" s="27">
        <f t="shared" si="4"/>
        <v>3407287384</v>
      </c>
      <c r="M5" s="27">
        <v>3.407287384431122E9</v>
      </c>
      <c r="N5" s="27">
        <f>IFERROR(__xludf.DUMMYFUNCTION("IMPORTRANGE(C5,""Summary - By Business line!C51"")"),2.3666153632705105E10)</f>
        <v>23666153633</v>
      </c>
      <c r="O5" s="27">
        <f>IFERROR(__xludf.DUMMYFUNCTION("IMPORTRANGE(C5,""Summary - By Business line!C7"")"),1.7729155547890978E9)</f>
        <v>1772915555</v>
      </c>
      <c r="P5" s="30">
        <f>IFERROR(__xludf.DUMMYFUNCTION("IMPORTRANGE(C5,""Summary - By Business line!C6"")"),1.6363779422550018E9)</f>
        <v>1636377942</v>
      </c>
      <c r="Q5" s="27">
        <f t="shared" si="5"/>
        <v>20256860136</v>
      </c>
      <c r="R5" s="31">
        <f t="shared" si="6"/>
        <v>0.1682041225</v>
      </c>
      <c r="S5" s="9">
        <v>0.0</v>
      </c>
      <c r="T5" s="31">
        <f t="shared" si="7"/>
        <v>0.4933572106</v>
      </c>
    </row>
    <row r="6">
      <c r="A6" s="15">
        <f>'Past Freezes'!A29</f>
        <v>44456</v>
      </c>
      <c r="B6" s="25">
        <v>44456.0</v>
      </c>
      <c r="C6" s="16" t="str">
        <f>'Past Freezes'!B29</f>
        <v>https://docs.google.com/spreadsheets/d/14BfQ2_DxJsx11gzWjRk1a7AUwFaX3HwL_snQrB7saD8/edit#gid=622029069</v>
      </c>
      <c r="D6" s="26" t="s">
        <v>122</v>
      </c>
      <c r="E6" s="27">
        <f>IFERROR(__xludf.DUMMYFUNCTION("IMPORTRANGE(C6,""Coin stats!K""&amp;$A$28)*-1"),1.323888882113466E9)</f>
        <v>1323888882</v>
      </c>
      <c r="F6" s="27">
        <f t="shared" si="1"/>
        <v>3308218882</v>
      </c>
      <c r="G6" s="27" t="s">
        <v>123</v>
      </c>
      <c r="H6" s="28">
        <f>IFERROR(__xludf.DUMMYFUNCTION("IMPORTRANGE(C6,""Coin stats!B23"")"),47856.64045362161)</f>
        <v>47856.64045</v>
      </c>
      <c r="I6" s="27">
        <f t="shared" si="2"/>
        <v>3029803907</v>
      </c>
      <c r="J6" s="29" t="s">
        <v>119</v>
      </c>
      <c r="K6" s="27">
        <f t="shared" si="3"/>
        <v>6736692777</v>
      </c>
      <c r="L6" s="27">
        <f t="shared" si="4"/>
        <v>2730052652</v>
      </c>
      <c r="M6" s="27">
        <v>2.730052651792856E9</v>
      </c>
      <c r="N6" s="27">
        <f>IFERROR(__xludf.DUMMYFUNCTION("IMPORTRANGE(C6,""Summary - By Business line!C51"")"),2.4232365129399372E10)</f>
        <v>24232365129</v>
      </c>
      <c r="O6" s="27">
        <f>IFERROR(__xludf.DUMMYFUNCTION("IMPORTRANGE(C6,""Summary - By Business line!C7"")"),1.6677476156803281E9)</f>
        <v>1667747616</v>
      </c>
      <c r="P6" s="30">
        <f>IFERROR(__xludf.DUMMYFUNCTION("IMPORTRANGE(C6,""Summary - By Business line!C6"")"),1.5381967627005033E9)</f>
        <v>1538196763</v>
      </c>
      <c r="Q6" s="27">
        <f t="shared" si="5"/>
        <v>21026420751</v>
      </c>
      <c r="R6" s="31">
        <f t="shared" si="6"/>
        <v>0.1298391526</v>
      </c>
      <c r="S6" s="9">
        <v>0.0</v>
      </c>
      <c r="T6" s="31">
        <f t="shared" si="7"/>
        <v>0.4502309519</v>
      </c>
    </row>
    <row r="7">
      <c r="A7" s="11" t="str">
        <f>'Past Freezes'!A31</f>
        <v>September 21st </v>
      </c>
      <c r="B7" s="25">
        <v>44460.0</v>
      </c>
      <c r="C7" s="16" t="str">
        <f>'Past Freezes'!B31</f>
        <v>https://docs.google.com/spreadsheets/d/18TrQZs4Iv6kmgRrqnKgspEj2M0iXdOG0bdYzvGSl51c/edit#gid=1256055019</v>
      </c>
      <c r="D7" s="26" t="s">
        <v>124</v>
      </c>
      <c r="E7" s="27">
        <f>IFERROR(__xludf.DUMMYFUNCTION("IMPORTRANGE(C7,""Coin stats!K""&amp;$A$28)*-1"),1.2932329348683646E9)</f>
        <v>1293232935</v>
      </c>
      <c r="F7" s="27">
        <f t="shared" si="1"/>
        <v>3229562935</v>
      </c>
      <c r="G7" s="27" t="s">
        <v>123</v>
      </c>
      <c r="H7" s="28">
        <f>IFERROR(__xludf.DUMMYFUNCTION("IMPORTRANGE(C7,""Coin stats!B23"")"),42980.49222366563)</f>
        <v>42980.49222</v>
      </c>
      <c r="I7" s="27">
        <f t="shared" si="2"/>
        <v>2721094963</v>
      </c>
      <c r="J7" s="29" t="s">
        <v>119</v>
      </c>
      <c r="K7" s="27">
        <f t="shared" si="3"/>
        <v>6342147180</v>
      </c>
      <c r="L7" s="27">
        <f t="shared" si="4"/>
        <v>2316559020</v>
      </c>
      <c r="M7" s="27">
        <v>2.31655902E9</v>
      </c>
      <c r="N7" s="27">
        <f>IFERROR(__xludf.DUMMYFUNCTION("IMPORTRANGE(C7,""Summary - By Business line!C51"")"),2.143054419830267E10)</f>
        <v>21430544198</v>
      </c>
      <c r="O7" s="27">
        <f>IFERROR(__xludf.DUMMYFUNCTION("IMPORTRANGE(C7,""Summary - By Business line!C7"")"),1.547379533154176E9)</f>
        <v>1547379533</v>
      </c>
      <c r="P7" s="30">
        <f>IFERROR(__xludf.DUMMYFUNCTION("IMPORTRANGE(C7,""Summary - By Business line!C6"")"),1.4343491167589328E9)</f>
        <v>1434349117</v>
      </c>
      <c r="Q7" s="27">
        <f t="shared" si="5"/>
        <v>18448815548</v>
      </c>
      <c r="R7" s="31">
        <f t="shared" si="6"/>
        <v>0.1255668156</v>
      </c>
      <c r="S7" s="9">
        <v>0.0</v>
      </c>
      <c r="T7" s="31">
        <f t="shared" si="7"/>
        <v>0.4693366996</v>
      </c>
    </row>
    <row r="8">
      <c r="A8" s="11" t="str">
        <f>'Past Freezes'!A32</f>
        <v>September 24th</v>
      </c>
      <c r="B8" s="25">
        <v>44463.0</v>
      </c>
      <c r="C8" s="16" t="str">
        <f>'Past Freezes'!B32</f>
        <v>https://docs.google.com/spreadsheets/d/1zrBN1i-yvlEbiiPHtuYm6yBK2xAD1NtbuoQrr_ZI6-M/edit#gid=0</v>
      </c>
      <c r="D8" s="26" t="s">
        <v>125</v>
      </c>
      <c r="E8" s="27">
        <f>IFERROR(__xludf.DUMMYFUNCTION("IMPORTRANGE(C8,""Coin stats!K""&amp;$A$28)*-1"),1.9326017711961474E9)</f>
        <v>1932601771</v>
      </c>
      <c r="F8" s="27">
        <f t="shared" si="1"/>
        <v>3818931771</v>
      </c>
      <c r="G8" s="27" t="s">
        <v>123</v>
      </c>
      <c r="H8" s="28">
        <f>IFERROR(__xludf.DUMMYFUNCTION("IMPORTRANGE(C8,""Coin stats!B23"")"),44862.74181824127)</f>
        <v>44862.74182</v>
      </c>
      <c r="I8" s="27">
        <f t="shared" si="2"/>
        <v>2840260185</v>
      </c>
      <c r="J8" s="29" t="s">
        <v>119</v>
      </c>
      <c r="K8" s="27">
        <f t="shared" si="3"/>
        <v>8251545144</v>
      </c>
      <c r="L8" s="27">
        <f t="shared" si="4"/>
        <v>2521280960</v>
      </c>
      <c r="M8" s="27">
        <v>2.521280959875564E9</v>
      </c>
      <c r="N8" s="27">
        <f>IFERROR(__xludf.DUMMYFUNCTION("IMPORTRANGE(C8,""Summary - By Business line!C51"")"),2.297238187972631E10)</f>
        <v>22972381880</v>
      </c>
      <c r="O8" s="27">
        <f>IFERROR(__xludf.DUMMYFUNCTION("IMPORTRANGE(C8,""Summary - By Business line!C7"")"),1.5322637042369316E9)</f>
        <v>1532263704</v>
      </c>
      <c r="P8" s="30">
        <f>IFERROR(__xludf.DUMMYFUNCTION("IMPORTRANGE(C8,""Summary - By Business line!C6"")"),1.4252149740372503E9)</f>
        <v>1425214974</v>
      </c>
      <c r="Q8" s="27">
        <f t="shared" si="5"/>
        <v>20014903201</v>
      </c>
      <c r="R8" s="31">
        <f t="shared" si="6"/>
        <v>0.12597018</v>
      </c>
      <c r="S8" s="9">
        <v>0.0</v>
      </c>
      <c r="T8" s="31">
        <f t="shared" si="7"/>
        <v>0.5382402301</v>
      </c>
    </row>
    <row r="9">
      <c r="A9" s="11" t="str">
        <f>'Past Freezes'!A33</f>
        <v>September 28th</v>
      </c>
      <c r="B9" s="25">
        <v>44467.0</v>
      </c>
      <c r="C9" s="16" t="str">
        <f>'Past Freezes'!B33</f>
        <v>https://docs.google.com/spreadsheets/d/143UvFbPUXfzPW8A92oADau1_KNA1suNquf9uGewGv9o/edit#gid=263247883</v>
      </c>
      <c r="D9" s="26" t="s">
        <v>125</v>
      </c>
      <c r="E9" s="27">
        <f>IFERROR(__xludf.DUMMYFUNCTION("IMPORTRANGE(C9,""Coin stats!K""&amp;$A$28)*-1"),1.9482415521069705E9)</f>
        <v>1948241552</v>
      </c>
      <c r="F9" s="27">
        <f t="shared" si="1"/>
        <v>3834571552</v>
      </c>
      <c r="G9" s="27" t="s">
        <v>123</v>
      </c>
      <c r="H9" s="28">
        <f>IFERROR(__xludf.DUMMYFUNCTION("IMPORTRANGE(C9,""Coin stats!B23"")"),42402.94355043827)</f>
        <v>42402.94355</v>
      </c>
      <c r="I9" s="27">
        <f t="shared" si="2"/>
        <v>2684530356</v>
      </c>
      <c r="J9" s="29" t="s">
        <v>119</v>
      </c>
      <c r="K9" s="27">
        <f t="shared" si="3"/>
        <v>8139606702</v>
      </c>
      <c r="L9" s="27">
        <f t="shared" si="4"/>
        <v>2632257469</v>
      </c>
      <c r="M9" s="27">
        <v>2.632257469E9</v>
      </c>
      <c r="N9" s="27">
        <f>IFERROR(__xludf.DUMMYFUNCTION("IMPORTRANGE(C9,""Summary - By Business line!C51"")"),2.1740971482551056E10)</f>
        <v>21740971483</v>
      </c>
      <c r="O9" s="27">
        <f>IFERROR(__xludf.DUMMYFUNCTION("IMPORTRANGE(C9,""Summary - By Business line!C7"")"),1.517901716011206E9)</f>
        <v>1517901716</v>
      </c>
      <c r="P9" s="30">
        <f>IFERROR(__xludf.DUMMYFUNCTION("IMPORTRANGE(C9,""Summary - By Business line!C6"")"),1.412917347275772E9)</f>
        <v>1412917347</v>
      </c>
      <c r="Q9" s="27">
        <f t="shared" si="5"/>
        <v>18810152419</v>
      </c>
      <c r="R9" s="31">
        <f t="shared" si="6"/>
        <v>0.1399381255</v>
      </c>
      <c r="S9" s="22">
        <f>IFERROR(__xludf.DUMMYFUNCTION("IMPORTRANGE(C9,""Coin stats!AU""&amp;$A$28)"),0.0)</f>
        <v>0</v>
      </c>
      <c r="T9" s="31">
        <f t="shared" si="7"/>
        <v>0.5726622481</v>
      </c>
    </row>
    <row r="10">
      <c r="A10" s="11" t="str">
        <f>'Past Freezes'!A34</f>
        <v>September 30th</v>
      </c>
      <c r="B10" s="25">
        <v>44469.0</v>
      </c>
      <c r="C10" s="16" t="str">
        <f>'Past Freezes'!B34</f>
        <v>https://docs.google.com/spreadsheets/d/1oGlR7AsWvbfbhbIwRIsgSaZBZTe9vlJomBKAUiov-3c/edit#gid=263247883</v>
      </c>
      <c r="D10" s="26" t="s">
        <v>126</v>
      </c>
      <c r="E10" s="27">
        <f>IFERROR(__xludf.DUMMYFUNCTION("IMPORTRANGE(C10,""Coin stats!K""&amp;$A$28)*-1"),2.0160548418256283E9)</f>
        <v>2016054842</v>
      </c>
      <c r="F10" s="27">
        <f t="shared" si="1"/>
        <v>3517384842</v>
      </c>
      <c r="G10" s="27" t="s">
        <v>127</v>
      </c>
      <c r="H10" s="28">
        <f>IFERROR(__xludf.DUMMYFUNCTION("IMPORTRANGE(C10,""Coin stats!B23"")"),43858.36952115033)</f>
        <v>43858.36952</v>
      </c>
      <c r="I10" s="27">
        <f t="shared" si="2"/>
        <v>2118797832</v>
      </c>
      <c r="J10" s="29" t="s">
        <v>119</v>
      </c>
      <c r="K10" s="27">
        <f t="shared" si="3"/>
        <v>7763751389</v>
      </c>
      <c r="L10" s="27">
        <f t="shared" si="4"/>
        <v>3419030008</v>
      </c>
      <c r="M10" s="27">
        <v>3.4190300076E9</v>
      </c>
      <c r="N10" s="27">
        <f>IFERROR(__xludf.DUMMYFUNCTION("IMPORTRANGE(C10,""Summary - By Business line!C51"")"),2.182802942712868E10)</f>
        <v>21828029427</v>
      </c>
      <c r="O10" s="27">
        <f>IFERROR(__xludf.DUMMYFUNCTION("IMPORTRANGE(C10,""Summary - By Business line!C7"")"),1.5292146287523978E9)</f>
        <v>1529214629</v>
      </c>
      <c r="P10" s="30">
        <f>IFERROR(__xludf.DUMMYFUNCTION("IMPORTRANGE(C10,""Summary - By Business line!C6"")"),1.420942238393357E9)</f>
        <v>1420942238</v>
      </c>
      <c r="Q10" s="27">
        <f t="shared" si="5"/>
        <v>18877872560</v>
      </c>
      <c r="R10" s="31">
        <f t="shared" si="6"/>
        <v>0.1811130993</v>
      </c>
      <c r="S10" s="22">
        <f>IFERROR(__xludf.DUMMYFUNCTION("IMPORTRANGE(C10,""Coin stats!AU""&amp;$A$28)"),0.0)</f>
        <v>0</v>
      </c>
      <c r="T10" s="31">
        <f t="shared" si="7"/>
        <v>0.5923750868</v>
      </c>
    </row>
    <row r="11">
      <c r="A11" s="11" t="str">
        <f>'Past Freezes'!A35</f>
        <v>October 5th</v>
      </c>
      <c r="B11" s="25">
        <v>44474.0</v>
      </c>
      <c r="C11" s="16" t="str">
        <f>'Past Freezes'!B35</f>
        <v>https://docs.google.com/spreadsheets/d/1mfydxuq97mjh7d6VwY-6ggfJnGxy7GMzNvjvmlt5iKw/edit#gid=263247883</v>
      </c>
      <c r="D11" s="26" t="s">
        <v>126</v>
      </c>
      <c r="E11" s="27">
        <f>IFERROR(__xludf.DUMMYFUNCTION("IMPORTRANGE(C11,""Coin stats!K""&amp;$A$28)*-1"),2.1444547735633278E9)</f>
        <v>2144454774</v>
      </c>
      <c r="F11" s="27">
        <f t="shared" si="1"/>
        <v>3645784774</v>
      </c>
      <c r="G11" s="27" t="s">
        <v>128</v>
      </c>
      <c r="H11" s="28">
        <f>IFERROR(__xludf.DUMMYFUNCTION("IMPORTRANGE(C11,""Coin stats!B23"")"),49325.27679791929)</f>
        <v>49325.2768</v>
      </c>
      <c r="I11" s="27">
        <f t="shared" si="2"/>
        <v>2382904615</v>
      </c>
      <c r="J11" s="29" t="s">
        <v>119</v>
      </c>
      <c r="K11" s="27">
        <f t="shared" si="3"/>
        <v>8387377981</v>
      </c>
      <c r="L11" s="27">
        <f t="shared" si="4"/>
        <v>3623844795</v>
      </c>
      <c r="M11" s="27">
        <v>3.62384479452E9</v>
      </c>
      <c r="N11" s="27">
        <f>IFERROR(__xludf.DUMMYFUNCTION("IMPORTRANGE(C11,""Summary - By Business line!C51"")"),2.3975390232380634E10)</f>
        <v>23975390232</v>
      </c>
      <c r="O11" s="27">
        <f>IFERROR(__xludf.DUMMYFUNCTION("IMPORTRANGE(C11,""Summary - By Business line!C7"")"),1.6923701970120692E9)</f>
        <v>1692370197</v>
      </c>
      <c r="P11" s="30">
        <f>IFERROR(__xludf.DUMMYFUNCTION("IMPORTRANGE(C11,""Summary - By Business line!C6"")"),1.5758954667157266E9)</f>
        <v>1575895467</v>
      </c>
      <c r="Q11" s="27">
        <f t="shared" si="5"/>
        <v>20707124569</v>
      </c>
      <c r="R11" s="31">
        <f t="shared" si="6"/>
        <v>0.1750047324</v>
      </c>
      <c r="S11" s="22">
        <f>IFERROR(__xludf.DUMMYFUNCTION("IMPORTRANGE(C11,""Coin stats!AU""&amp;$A$28)"),0.0)</f>
        <v>0</v>
      </c>
      <c r="T11" s="31">
        <f t="shared" si="7"/>
        <v>0.5800526643</v>
      </c>
    </row>
    <row r="12">
      <c r="A12" s="11" t="str">
        <f>'Past Freezes'!A36</f>
        <v>October 8th</v>
      </c>
      <c r="B12" s="25">
        <v>44477.0</v>
      </c>
      <c r="C12" s="16" t="str">
        <f>'Past Freezes'!B36</f>
        <v>https://docs.google.com/spreadsheets/d/1QnD-_fxBGQRm0kPVLGoIEuiJepPQZp5uHPYR-SqZxsk/edit#gid=0</v>
      </c>
      <c r="D12" s="26" t="s">
        <v>129</v>
      </c>
      <c r="E12" s="27">
        <f>IFERROR(__xludf.DUMMYFUNCTION("IMPORTRANGE(C12,""Coin stats!K""&amp;$A$28)*-1"),2.295112616334921E9)</f>
        <v>2295112616</v>
      </c>
      <c r="F12" s="27">
        <f t="shared" si="1"/>
        <v>3696442616</v>
      </c>
      <c r="G12" s="27" t="s">
        <v>130</v>
      </c>
      <c r="H12" s="28">
        <f>IFERROR(__xludf.DUMMYFUNCTION("IMPORTRANGE(C12,""Coin stats!B23"")"),53834.87724266724)</f>
        <v>53834.87724</v>
      </c>
      <c r="I12" s="27">
        <f t="shared" si="2"/>
        <v>1981662370</v>
      </c>
      <c r="J12" s="29" t="s">
        <v>119</v>
      </c>
      <c r="K12" s="27">
        <f t="shared" si="3"/>
        <v>8407977695</v>
      </c>
      <c r="L12" s="27">
        <f t="shared" si="4"/>
        <v>4252668270</v>
      </c>
      <c r="M12" s="27">
        <v>4.1723837466000004E9</v>
      </c>
      <c r="N12" s="27">
        <f>IFERROR(__xludf.DUMMYFUNCTION("IMPORTRANGE(C12,""Summary - By Business line!C51"")"),2.520695932062497E10)</f>
        <v>25206959321</v>
      </c>
      <c r="O12" s="27">
        <f>IFERROR(__xludf.DUMMYFUNCTION("IMPORTRANGE(C12,""Summary - By Business line!C7"")"),1.7165330442460344E9)</f>
        <v>1716533044</v>
      </c>
      <c r="P12" s="30">
        <f>IFERROR(__xludf.DUMMYFUNCTION("IMPORTRANGE(C12,""Summary - By Business line!C6"")"),1.5954992902464328E9)</f>
        <v>1595499290</v>
      </c>
      <c r="Q12" s="27">
        <f t="shared" si="5"/>
        <v>21894926986</v>
      </c>
      <c r="R12" s="31">
        <f t="shared" si="6"/>
        <v>0.1942307583</v>
      </c>
      <c r="S12" s="22">
        <f>IFERROR(__xludf.DUMMYFUNCTION("IMPORTRANGE(C12,""Coin stats!AU""&amp;$A$28)"),8.028452377617095E7)</f>
        <v>80284523.78</v>
      </c>
      <c r="T12" s="31">
        <f t="shared" si="7"/>
        <v>0.574578826</v>
      </c>
    </row>
    <row r="13">
      <c r="A13" s="11" t="str">
        <f>'Past Freezes'!A37</f>
        <v>October 12th</v>
      </c>
      <c r="B13" s="32">
        <v>44481.0</v>
      </c>
      <c r="C13" s="16" t="str">
        <f>'Past Freezes'!B37</f>
        <v>https://docs.google.com/spreadsheets/d/1ec3xqxK1orxk3pJg7TR2Fu0bMY60jtt-qpgfaHizDJo/edit#gid=0</v>
      </c>
      <c r="D13" s="26" t="s">
        <v>129</v>
      </c>
      <c r="E13" s="27">
        <f>IFERROR(__xludf.DUMMYFUNCTION("IMPORTRANGE(C13,""Coin stats!K""&amp;$A$28)*-1"),2.2010190916685305E9)</f>
        <v>2201019092</v>
      </c>
      <c r="F13" s="27">
        <f t="shared" si="1"/>
        <v>3602349092</v>
      </c>
      <c r="G13" s="27" t="s">
        <v>131</v>
      </c>
      <c r="H13" s="28">
        <f>IFERROR(__xludf.DUMMYFUNCTION("IMPORTRANGE(C13,""Coin stats!B23"")"),57426.40486350285)</f>
        <v>57426.40486</v>
      </c>
      <c r="I13" s="27">
        <f t="shared" si="2"/>
        <v>2113865963</v>
      </c>
      <c r="J13" s="29" t="s">
        <v>119</v>
      </c>
      <c r="K13" s="27">
        <f t="shared" si="3"/>
        <v>8276719420</v>
      </c>
      <c r="L13" s="27">
        <f t="shared" si="4"/>
        <v>4408850951</v>
      </c>
      <c r="M13" s="27">
        <v>4.323281363E9</v>
      </c>
      <c r="N13" s="27">
        <f>IFERROR(__xludf.DUMMYFUNCTION("IMPORTRANGE(C13,""Summary - By Business line!C51"")"),2.5649137973501305E10)</f>
        <v>25649137974</v>
      </c>
      <c r="O13" s="27">
        <f>IFERROR(__xludf.DUMMYFUNCTION("IMPORTRANGE(C13,""Summary - By Business line!C7"")"),1.7321611582752578E9)</f>
        <v>1732161158</v>
      </c>
      <c r="P13" s="30">
        <f>IFERROR(__xludf.DUMMYFUNCTION("IMPORTRANGE(C13,""Summary - By Business line!C6"")"),1.6100589204844396E9)</f>
        <v>1610058920</v>
      </c>
      <c r="Q13" s="27">
        <f t="shared" si="5"/>
        <v>22306917895</v>
      </c>
      <c r="R13" s="31">
        <f t="shared" si="6"/>
        <v>0.1976450073</v>
      </c>
      <c r="S13" s="22">
        <f>IFERROR(__xludf.DUMMYFUNCTION("IMPORTRANGE(C13,""Coin stats!AU""&amp;$A$28)"),8.55695879945313E7)</f>
        <v>85569587.99</v>
      </c>
      <c r="T13" s="31">
        <f t="shared" si="7"/>
        <v>0.56484723</v>
      </c>
    </row>
    <row r="14">
      <c r="A14" s="11" t="str">
        <f>'Past Freezes'!A38</f>
        <v>October 15th</v>
      </c>
      <c r="B14" s="32">
        <v>44484.0</v>
      </c>
      <c r="C14" s="16" t="str">
        <f>'Past Freezes'!B38</f>
        <v>https://docs.google.com/spreadsheets/d/1H9XsuWuS2RR6IpIhOxg8XV_f79KsEh2C8sw2XVuC8Bw/edit#gid=263247883</v>
      </c>
      <c r="D14" s="26" t="s">
        <v>132</v>
      </c>
      <c r="E14" s="24" t="s">
        <v>133</v>
      </c>
      <c r="F14" s="27" t="str">
        <f t="shared" si="1"/>
        <v>#VALUE!</v>
      </c>
      <c r="G14" s="27" t="s">
        <v>134</v>
      </c>
      <c r="H14" s="28">
        <f>IFERROR(__xludf.DUMMYFUNCTION("IMPORTRANGE(C14,""Coin stats!B23"")"),57435.25414794888)</f>
        <v>57435.25415</v>
      </c>
      <c r="I14" s="27">
        <f t="shared" si="2"/>
        <v>1550751862</v>
      </c>
      <c r="J14" s="29" t="s">
        <v>119</v>
      </c>
      <c r="K14" s="27" t="str">
        <f>I14+2.2*E14</f>
        <v>#VALUE!</v>
      </c>
      <c r="L14" s="27">
        <f t="shared" si="4"/>
        <v>4877493992</v>
      </c>
      <c r="M14" s="27">
        <v>4.79034458E9</v>
      </c>
      <c r="N14" s="27">
        <f>IFERROR(__xludf.DUMMYFUNCTION("IMPORTRANGE(C14,""Summary - By Business line!C51"")"),2.6395262756341778E10)</f>
        <v>26395262756</v>
      </c>
      <c r="O14" s="27">
        <f>IFERROR(__xludf.DUMMYFUNCTION("IMPORTRANGE(C14,""Summary - By Business line!C7"")"),1.6924662614214933E9)</f>
        <v>1692466261</v>
      </c>
      <c r="P14" s="30">
        <f>IFERROR(__xludf.DUMMYFUNCTION("IMPORTRANGE(C14,""Summary - By Business line!C6"")"),1.5741668187117288E9)</f>
        <v>1574166819</v>
      </c>
      <c r="Q14" s="27">
        <f t="shared" si="5"/>
        <v>23128629676</v>
      </c>
      <c r="R14" s="31">
        <f t="shared" si="6"/>
        <v>0.2108855587</v>
      </c>
      <c r="S14" s="22">
        <f>IFERROR(__xludf.DUMMYFUNCTION("IMPORTRANGE(C14,""Coin stats!AW""&amp;$A$28)"),8.714941181471862E7)</f>
        <v>87149411.81</v>
      </c>
      <c r="T14" s="31" t="str">
        <f t="shared" si="7"/>
        <v>#VALUE!</v>
      </c>
    </row>
    <row r="15">
      <c r="A15" s="11" t="str">
        <f>'Past Freezes'!A39</f>
        <v>October 22nd</v>
      </c>
      <c r="B15" s="32">
        <v>44491.0</v>
      </c>
      <c r="C15" s="16" t="str">
        <f>'Past Freezes'!B39</f>
        <v>https://docs.google.com/spreadsheets/d/10TgYwvdCU7xRjcL7cPw8qxtAAzxNXG3pVxm6SP9FpCw/edit#gid=263247883</v>
      </c>
      <c r="D15" s="26" t="s">
        <v>135</v>
      </c>
      <c r="E15" s="27">
        <f>IFERROR(__xludf.DUMMYFUNCTION("IMPORTRANGE(C15,""Coin stats!K""&amp;$A$28)*-1"),1.386628493793762E9)</f>
        <v>1386628494</v>
      </c>
      <c r="F15" s="27">
        <f t="shared" si="1"/>
        <v>2687958494</v>
      </c>
      <c r="G15" s="27" t="s">
        <v>136</v>
      </c>
      <c r="H15" s="28">
        <f>IFERROR(__xludf.DUMMYFUNCTION("IMPORTRANGE(C15,""Coin stats!B23"")"),62388.79716708904)</f>
        <v>62388.79717</v>
      </c>
      <c r="I15" s="27">
        <f t="shared" si="2"/>
        <v>1960567951</v>
      </c>
      <c r="J15" s="27">
        <f>IFERROR(__xludf.DUMMYFUNCTION("IMPORTRANGE(C15,""Coin stats!ak4"")"),4.232883372374903E9)</f>
        <v>4232883372</v>
      </c>
      <c r="K15" s="27">
        <f t="shared" ref="K15:K22" si="8">I15+J15</f>
        <v>6193451323</v>
      </c>
      <c r="L15" s="27">
        <f t="shared" si="4"/>
        <v>4247421301</v>
      </c>
      <c r="M15" s="27">
        <v>2.77731794072E9</v>
      </c>
      <c r="N15" s="27">
        <f>IFERROR(__xludf.DUMMYFUNCTION("IMPORTRANGE(C15,""Summary - By Business line!C51"")"),2.6886605416492744E10)</f>
        <v>26886605416</v>
      </c>
      <c r="O15" s="27">
        <f>IFERROR(__xludf.DUMMYFUNCTION("IMPORTRANGE(C15,""Summary - By Business line!C7"")"),1.533132781203465E9)</f>
        <v>1533132781</v>
      </c>
      <c r="P15" s="30">
        <f>IFERROR(__xludf.DUMMYFUNCTION("IMPORTRANGE(C15,""Summary - By Business line!C6"")"),1.447270432388181E9)</f>
        <v>1447270432</v>
      </c>
      <c r="Q15" s="27">
        <f t="shared" si="5"/>
        <v>23906202203</v>
      </c>
      <c r="R15" s="31">
        <f t="shared" si="6"/>
        <v>0.1776702659</v>
      </c>
      <c r="S15" s="22">
        <f>IFERROR(__xludf.DUMMYFUNCTION("IMPORTRANGE(C15,""Coin stats!AW""&amp;$A$28)"),1.470103360266431E9)</f>
        <v>1470103360</v>
      </c>
      <c r="T15" s="31">
        <f t="shared" si="7"/>
        <v>0.3752486149</v>
      </c>
    </row>
    <row r="16">
      <c r="A16" s="11" t="str">
        <f>'Past Freezes'!A40</f>
        <v>October 26th</v>
      </c>
      <c r="B16" s="32">
        <v>44495.0</v>
      </c>
      <c r="C16" s="16" t="str">
        <f>'Past Freezes'!B40</f>
        <v>https://docs.google.com/spreadsheets/d/176dVLmMOcdgq_QVNkbsvJ3n9eZ4wui95GDIOv4YG1tc/edit#gid=0</v>
      </c>
      <c r="D16" s="26" t="s">
        <v>135</v>
      </c>
      <c r="E16" s="27">
        <f>IFERROR(__xludf.DUMMYFUNCTION("IMPORTRANGE(C16,""Coin stats!K""&amp;$A$28)*-1"),1.4236115386752536E9)</f>
        <v>1423611539</v>
      </c>
      <c r="F16" s="27">
        <f t="shared" si="1"/>
        <v>2724941539</v>
      </c>
      <c r="G16" s="27" t="s">
        <v>136</v>
      </c>
      <c r="H16" s="28">
        <f>IFERROR(__xludf.DUMMYFUNCTION("IMPORTRANGE(C16,""Coin stats!B23"")"),62894.183799532264)</f>
        <v>62894.1838</v>
      </c>
      <c r="I16" s="27">
        <f t="shared" si="2"/>
        <v>1976449726</v>
      </c>
      <c r="J16" s="27">
        <f>IFERROR(__xludf.DUMMYFUNCTION("IMPORTRANGE(C16,""Coin stats!ak4"")"),4.288033220773895E9)</f>
        <v>4288033221</v>
      </c>
      <c r="K16" s="27">
        <f t="shared" si="8"/>
        <v>6264482947</v>
      </c>
      <c r="L16" s="27">
        <f t="shared" si="4"/>
        <v>4383142654</v>
      </c>
      <c r="M16" s="27">
        <v>2.911095638E9</v>
      </c>
      <c r="N16" s="27">
        <f>IFERROR(__xludf.DUMMYFUNCTION("IMPORTRANGE(C16,""Summary - By Business line!C51"")"),2.7432800033178345E10)</f>
        <v>27432800033</v>
      </c>
      <c r="O16" s="27">
        <f>IFERROR(__xludf.DUMMYFUNCTION("IMPORTRANGE(C16,""Summary - By Business line!C7"")"),1.4841771882530324E9)</f>
        <v>1484177188</v>
      </c>
      <c r="P16" s="30">
        <f>IFERROR(__xludf.DUMMYFUNCTION("IMPORTRANGE(C16,""Summary - By Business line!C6"")"),1.4074912903097346E9)</f>
        <v>1407491290</v>
      </c>
      <c r="Q16" s="27">
        <f t="shared" si="5"/>
        <v>24541131555</v>
      </c>
      <c r="R16" s="31">
        <f t="shared" si="6"/>
        <v>0.1786039345</v>
      </c>
      <c r="S16" s="22">
        <f>IFERROR(__xludf.DUMMYFUNCTION("IMPORTRANGE(C16,""Coin stats!AW""&amp;$A$28)"),1.472047015724142E9)</f>
        <v>1472047016</v>
      </c>
      <c r="T16" s="31">
        <f t="shared" si="7"/>
        <v>0.3738857177</v>
      </c>
    </row>
    <row r="17">
      <c r="A17" s="11" t="str">
        <f>'Past Freezes'!A41</f>
        <v>October 29th</v>
      </c>
      <c r="B17" s="32">
        <v>44498.0</v>
      </c>
      <c r="C17" s="16" t="str">
        <f>'Past Freezes'!B41</f>
        <v>https://docs.google.com/spreadsheets/d/1GOnUFPE9o6dkL4P-Uy6IRg0ZgeTj3QwIQchP-_Og1lw/edit#gid=1630204704</v>
      </c>
      <c r="D17" s="26" t="s">
        <v>137</v>
      </c>
      <c r="E17" s="27">
        <f>IFERROR(__xludf.DUMMYFUNCTION("IMPORTRANGE(C17,""Coin stats!K""&amp;$A$28)*-1"),9.065858747021321E8)</f>
        <v>906585874.7</v>
      </c>
      <c r="F17" s="27">
        <f t="shared" si="1"/>
        <v>2457915875</v>
      </c>
      <c r="G17" s="27" t="s">
        <v>138</v>
      </c>
      <c r="H17" s="28">
        <f>IFERROR(__xludf.DUMMYFUNCTION("IMPORTRANGE(C17,""Coin stats!B23"")"),195.11)</f>
        <v>195.11</v>
      </c>
      <c r="I17" s="27">
        <f t="shared" si="2"/>
        <v>7223947.75</v>
      </c>
      <c r="J17" s="27">
        <f>IFERROR(__xludf.DUMMYFUNCTION("IMPORTRANGE(C17,""Coin stats!ab4"")"),4.0013771441731277E9)</f>
        <v>4001377144</v>
      </c>
      <c r="K17" s="27">
        <f t="shared" si="8"/>
        <v>4008601092</v>
      </c>
      <c r="L17" s="27">
        <f t="shared" si="4"/>
        <v>3770505928</v>
      </c>
      <c r="M17" s="27">
        <v>2.28653445E9</v>
      </c>
      <c r="N17" s="27">
        <f>IFERROR(__xludf.DUMMYFUNCTION("IMPORTRANGE(C17,""Summary - By Business line!C51"")"),2.6948815558418243E10)</f>
        <v>26948815558</v>
      </c>
      <c r="O17" s="27">
        <f>IFERROR(__xludf.DUMMYFUNCTION("IMPORTRANGE(C17,""Summary - By Business line!C7"")"),1.3920882402468789E9)</f>
        <v>1392088240</v>
      </c>
      <c r="P17" s="30">
        <f>IFERROR(__xludf.DUMMYFUNCTION("IMPORTRANGE(C17,""Summary - By Business line!C6"")"),1.3131035500739305E9)</f>
        <v>1313103550</v>
      </c>
      <c r="Q17" s="27">
        <f t="shared" si="5"/>
        <v>24243623768</v>
      </c>
      <c r="R17" s="31">
        <f t="shared" si="6"/>
        <v>0.1555256741</v>
      </c>
      <c r="S17" s="27">
        <f t="shared" ref="S17:S22" si="9">$S$16/H15*H16</f>
        <v>1483971478</v>
      </c>
      <c r="T17" s="31">
        <f t="shared" si="7"/>
        <v>0.2596614929</v>
      </c>
    </row>
    <row r="18">
      <c r="A18" s="11" t="str">
        <f>'Past Freezes'!A42</f>
        <v>November 5th</v>
      </c>
      <c r="B18" s="25">
        <v>44505.0</v>
      </c>
      <c r="C18" s="16" t="str">
        <f>'Past Freezes'!B42</f>
        <v>https://docs.google.com/spreadsheets/d/1aKqJRBxFlD3-a9zJfv5hIrOeQ5-kH2SPsofq9eDJ-wI/edit#gid=0</v>
      </c>
      <c r="D18" s="26" t="s">
        <v>139</v>
      </c>
      <c r="E18" s="27">
        <f>IFERROR(__xludf.DUMMYFUNCTION("IMPORTRANGE(C18,""Coin stats!K""&amp;$A$28)*-1"),1.4360879822742865E9)</f>
        <v>1436087982</v>
      </c>
      <c r="F18" s="27">
        <f t="shared" si="1"/>
        <v>2987417982</v>
      </c>
      <c r="G18" s="27" t="s">
        <v>140</v>
      </c>
      <c r="H18" s="28">
        <f>IFERROR(__xludf.DUMMYFUNCTION("IMPORTRANGE(C18,""Coin stats!B25"")"),61448.72508072233)</f>
        <v>61448.72508</v>
      </c>
      <c r="I18" s="27">
        <f t="shared" si="2"/>
        <v>2275139661</v>
      </c>
      <c r="J18" s="27">
        <f>IFERROR(__xludf.DUMMYFUNCTION("IMPORTRANGE(C18,""Coin stats!ab4"")"),3.5317289967192297E9)</f>
        <v>3531728997</v>
      </c>
      <c r="K18" s="27">
        <f t="shared" si="8"/>
        <v>5806868657</v>
      </c>
      <c r="L18" s="27">
        <f t="shared" si="4"/>
        <v>3418438690</v>
      </c>
      <c r="M18" s="27">
        <v>3.413872114E9</v>
      </c>
      <c r="N18" s="27">
        <f>IFERROR(__xludf.DUMMYFUNCTION("IMPORTRANGE(C18,""Summary - By Business line!C51"")"),2.7461328171476852E10)</f>
        <v>27461328171</v>
      </c>
      <c r="O18" s="27">
        <f>IFERROR(__xludf.DUMMYFUNCTION("IMPORTRANGE(C18,""Summary - By Business line!C7"")"),1.2592526046019425E9)</f>
        <v>1259252605</v>
      </c>
      <c r="P18" s="30">
        <f>IFERROR(__xludf.DUMMYFUNCTION("IMPORTRANGE(C18,""Summary - By Business line!C6"")"),1.197327280254979E9)</f>
        <v>1197327280</v>
      </c>
      <c r="Q18" s="27">
        <f t="shared" si="5"/>
        <v>25004748287</v>
      </c>
      <c r="R18" s="31">
        <f t="shared" si="6"/>
        <v>0.1367115818</v>
      </c>
      <c r="S18" s="27">
        <f t="shared" si="9"/>
        <v>4566576.365</v>
      </c>
      <c r="T18" s="31">
        <f t="shared" si="7"/>
        <v>0.3687595918</v>
      </c>
    </row>
    <row r="19">
      <c r="A19" s="11" t="str">
        <f>'Past Freezes'!A43</f>
        <v>November 9th</v>
      </c>
      <c r="B19" s="25">
        <v>44509.0</v>
      </c>
      <c r="C19" s="16" t="str">
        <f>'Past Freezes'!B43</f>
        <v>https://docs.google.com/spreadsheets/d/1t4-XiBAnw4ZHXdFBrVeiYkS1hf6KG9-Zl8we9X7q1AQ/edit#gid=0</v>
      </c>
      <c r="D19" s="26" t="s">
        <v>141</v>
      </c>
      <c r="E19" s="27">
        <f>IFERROR(__xludf.DUMMYFUNCTION("IMPORTRANGE(C19,""Coin stats!K""&amp;$A$28)*-1"),1.534714326587812E9)</f>
        <v>1534714327</v>
      </c>
      <c r="F19" s="27">
        <f t="shared" si="1"/>
        <v>3086044327</v>
      </c>
      <c r="G19" s="27" t="s">
        <v>142</v>
      </c>
      <c r="H19" s="28">
        <f>IFERROR(__xludf.DUMMYFUNCTION("IMPORTRANGE(C19,""Coin stats!B25"")"),67589.768670975)</f>
        <v>67589.76867</v>
      </c>
      <c r="I19" s="27">
        <f t="shared" si="2"/>
        <v>2502512537</v>
      </c>
      <c r="J19" s="27">
        <f>IFERROR(__xludf.DUMMYFUNCTION("IMPORTRANGE(C19,""Coin stats!ab4"")"),3.8603214705680137E9)</f>
        <v>3860321471</v>
      </c>
      <c r="K19" s="27">
        <f t="shared" si="8"/>
        <v>6362834007</v>
      </c>
      <c r="L19" s="27">
        <f t="shared" si="4"/>
        <v>467187074773</v>
      </c>
      <c r="M19" s="27">
        <v>3.5746900914163413E9</v>
      </c>
      <c r="N19" s="27">
        <f>IFERROR(__xludf.DUMMYFUNCTION("IMPORTRANGE(C19,""Summary - By Business line!C51"")"),2.940923896392162E10)</f>
        <v>29409238964</v>
      </c>
      <c r="O19" s="27">
        <f>IFERROR(__xludf.DUMMYFUNCTION("IMPORTRANGE(C19,""Summary - By Business line!C7"")"),1.2790245471825435E9)</f>
        <v>1279024547</v>
      </c>
      <c r="P19" s="30">
        <f>IFERROR(__xludf.DUMMYFUNCTION("IMPORTRANGE(C19,""Summary - By Business line!C6"")"),1.2173212271163588E9)</f>
        <v>1217321227</v>
      </c>
      <c r="Q19" s="27">
        <f t="shared" si="5"/>
        <v>26912893190</v>
      </c>
      <c r="R19" s="31">
        <f t="shared" si="6"/>
        <v>17.35922896</v>
      </c>
      <c r="S19" s="27">
        <f t="shared" si="9"/>
        <v>463612384681</v>
      </c>
      <c r="T19" s="31">
        <f t="shared" si="7"/>
        <v>0.369247707</v>
      </c>
    </row>
    <row r="20">
      <c r="A20" s="11" t="str">
        <f>'Past Freezes'!A44</f>
        <v>November 12th </v>
      </c>
      <c r="B20" s="32">
        <v>44512.0</v>
      </c>
      <c r="C20" s="16" t="str">
        <f>'Past Freezes'!B44</f>
        <v>https://docs.google.com/spreadsheets/d/1K7XE2HJWDz5MwIKoNEcODxi8yTAawlK9MKnRbg8NkGQ/edit#gid=0</v>
      </c>
      <c r="D20" s="26" t="s">
        <v>143</v>
      </c>
      <c r="E20" s="27">
        <f>IFERROR(__xludf.DUMMYFUNCTION("IMPORTRANGE(C20,""Coin stats!K""&amp;$A$28)*-1"),1.5361930785841208E9)</f>
        <v>1536193079</v>
      </c>
      <c r="F20" s="27">
        <f t="shared" si="1"/>
        <v>3087523079</v>
      </c>
      <c r="G20" s="27" t="s">
        <v>144</v>
      </c>
      <c r="H20" s="28">
        <f>IFERROR(__xludf.DUMMYFUNCTION("IMPORTRANGE(C20,""Coin stats!B25"")"),63948.448736389)</f>
        <v>63948.44874</v>
      </c>
      <c r="I20" s="27">
        <f t="shared" si="2"/>
        <v>2367693233</v>
      </c>
      <c r="J20" s="27">
        <f>IFERROR(__xludf.DUMMYFUNCTION("IMPORTRANGE(C20,""Coin stats!ab4"")"),3.936560806536758E9)</f>
        <v>3936560807</v>
      </c>
      <c r="K20" s="27">
        <f t="shared" si="8"/>
        <v>6304254039</v>
      </c>
      <c r="L20" s="27">
        <f t="shared" si="4"/>
        <v>5132094981</v>
      </c>
      <c r="M20" s="27">
        <v>3.512934988E9</v>
      </c>
      <c r="N20" s="27">
        <f>IFERROR(__xludf.DUMMYFUNCTION("IMPORTRANGE(C20,""Summary - By Business line!C51"")"),2.8605613328109016E10)</f>
        <v>28605613328</v>
      </c>
      <c r="O20" s="27">
        <f>IFERROR(__xludf.DUMMYFUNCTION("IMPORTRANGE(C20,""Summary - By Business line!C7"")"),1.3358097353843045E9)</f>
        <v>1335809735</v>
      </c>
      <c r="P20" s="30">
        <f>IFERROR(__xludf.DUMMYFUNCTION("IMPORTRANGE(C20,""Summary - By Business line!C6"")"),1.2729447909711945E9)</f>
        <v>1272944791</v>
      </c>
      <c r="Q20" s="27">
        <f t="shared" si="5"/>
        <v>25996858802</v>
      </c>
      <c r="R20" s="31">
        <f t="shared" si="6"/>
        <v>0.1974121189</v>
      </c>
      <c r="S20" s="27">
        <f t="shared" si="9"/>
        <v>1619159993</v>
      </c>
      <c r="T20" s="31">
        <f t="shared" si="7"/>
        <v>0.3776298168</v>
      </c>
    </row>
    <row r="21">
      <c r="A21" s="11" t="str">
        <f>'Past Freezes'!A45</f>
        <v>November 16th</v>
      </c>
      <c r="B21" s="32">
        <v>44516.0</v>
      </c>
      <c r="C21" s="16" t="str">
        <f>'Past Freezes'!B45</f>
        <v>https://docs.google.com/spreadsheets/d/1DyWfgrfr3hRhdx8wokTpYqZtrmvrlTEjwIgKvWYYC-0/edit#gid=0</v>
      </c>
      <c r="D21" s="26" t="s">
        <v>145</v>
      </c>
      <c r="E21" s="27">
        <f>IFERROR(__xludf.DUMMYFUNCTION("IMPORTRANGE(C21,""Coin stats!K""&amp;$A$28)*-1"),1.4498392417818851E9)</f>
        <v>1449839242</v>
      </c>
      <c r="F21" s="27">
        <f t="shared" si="1"/>
        <v>3001169242</v>
      </c>
      <c r="G21" s="27" t="s">
        <v>146</v>
      </c>
      <c r="H21" s="28">
        <f>IFERROR(__xludf.DUMMYFUNCTION("IMPORTRANGE(C21,""Coin stats!B25"")"),60005.099436981)</f>
        <v>60005.09944</v>
      </c>
      <c r="I21" s="27">
        <f t="shared" si="2"/>
        <v>2221691207</v>
      </c>
      <c r="J21" s="27">
        <f>IFERROR(__xludf.DUMMYFUNCTION("IMPORTRANGE(C21,""Coin stats!x4"")"),3.595358733928486E9)</f>
        <v>3595358734</v>
      </c>
      <c r="K21" s="27">
        <f t="shared" si="8"/>
        <v>5817049941</v>
      </c>
      <c r="L21" s="27">
        <f t="shared" si="4"/>
        <v>4527157191</v>
      </c>
      <c r="M21" s="27">
        <v>3.134414991E9</v>
      </c>
      <c r="N21" s="27">
        <f>IFERROR(__xludf.DUMMYFUNCTION("IMPORTRANGE(C21,""Summary - By Business line!C51"")"),2.6644018234241917E10)</f>
        <v>26644018234</v>
      </c>
      <c r="O21" s="27">
        <f>IFERROR(__xludf.DUMMYFUNCTION("IMPORTRANGE(C21,""Summary - By Business line!C7"")"),1.2786258397841122E9)</f>
        <v>1278625840</v>
      </c>
      <c r="P21" s="30">
        <f>IFERROR(__xludf.DUMMYFUNCTION("IMPORTRANGE(C21,""Summary - By Business line!C6"")"),1.221009472214233E9)</f>
        <v>1221009472</v>
      </c>
      <c r="Q21" s="27">
        <f t="shared" si="5"/>
        <v>24144382922</v>
      </c>
      <c r="R21" s="31">
        <f t="shared" si="6"/>
        <v>0.1875035368</v>
      </c>
      <c r="S21" s="27">
        <f t="shared" si="9"/>
        <v>1392742200</v>
      </c>
      <c r="T21" s="31">
        <f t="shared" si="7"/>
        <v>0.3707473063</v>
      </c>
    </row>
    <row r="22">
      <c r="A22" s="11" t="str">
        <f>'Past Freezes'!A46</f>
        <v>November 19th</v>
      </c>
      <c r="B22" s="32">
        <v>44519.0</v>
      </c>
      <c r="C22" s="16" t="str">
        <f>'Past Freezes'!B46</f>
        <v>https://docs.google.com/spreadsheets/d/1UIXREr-YjBRsyT2yiQB2yuwJbOHxzUZDvpnM531lePE/edit#gid=0</v>
      </c>
      <c r="D22" s="26" t="s">
        <v>147</v>
      </c>
      <c r="E22" s="27">
        <f>IFERROR(__xludf.DUMMYFUNCTION("IMPORTRANGE(C22,""Coin stats!K""&amp;$A$28)*-1"),1.4207502353924644E9)</f>
        <v>1420750235</v>
      </c>
      <c r="F22" s="27">
        <f t="shared" si="1"/>
        <v>2972080235</v>
      </c>
      <c r="G22" s="27" t="s">
        <v>148</v>
      </c>
      <c r="H22" s="28">
        <f>IFERROR(__xludf.DUMMYFUNCTION("IMPORTRANGE(C22,""Coin stats!B25"")"),57845.553577629)</f>
        <v>57845.55358</v>
      </c>
      <c r="I22" s="27">
        <f t="shared" si="2"/>
        <v>2141734513</v>
      </c>
      <c r="J22" s="27">
        <f>IFERROR(__xludf.DUMMYFUNCTION("IMPORTRANGE(C22,""Coin stats!y4"")"),3.652476615655943E9)</f>
        <v>3652476616</v>
      </c>
      <c r="K22" s="27">
        <f t="shared" si="8"/>
        <v>5794211129</v>
      </c>
      <c r="L22" s="27">
        <f t="shared" si="4"/>
        <v>4431569408</v>
      </c>
      <c r="M22" s="33">
        <f>3747295440-697000000</f>
        <v>3050295440</v>
      </c>
      <c r="N22" s="27">
        <f>IFERROR(__xludf.DUMMYFUNCTION("IMPORTRANGE(C22,""Summary - By Business line!C51"")"),2.6203726784462696E10)</f>
        <v>26203726784</v>
      </c>
      <c r="O22" s="27">
        <f>IFERROR(__xludf.DUMMYFUNCTION("IMPORTRANGE(C22,""Summary - By Business line!C8"")"),1.181154561016982E9)</f>
        <v>1181154561</v>
      </c>
      <c r="P22" s="30">
        <f>IFERROR(__xludf.DUMMYFUNCTION("IMPORTRANGE(C22,""Summary - By Business line!C7"")"),1.1303679513229802E9)</f>
        <v>1130367951</v>
      </c>
      <c r="Q22" s="27">
        <f t="shared" si="5"/>
        <v>23892204272</v>
      </c>
      <c r="R22" s="31">
        <f t="shared" si="6"/>
        <v>0.1854818148</v>
      </c>
      <c r="S22" s="27">
        <f t="shared" si="9"/>
        <v>1381273968</v>
      </c>
      <c r="T22" s="31">
        <f t="shared" si="7"/>
        <v>0.3701837833</v>
      </c>
    </row>
    <row r="23">
      <c r="A23" s="11" t="str">
        <f>'Past Freezes'!A47</f>
        <v>November 23rd</v>
      </c>
      <c r="D23" s="26"/>
      <c r="G23" s="27"/>
      <c r="Q23" s="27"/>
    </row>
    <row r="24">
      <c r="A24" s="11" t="str">
        <f>'Past Freezes'!A48</f>
        <v>November 26th</v>
      </c>
      <c r="D24" s="26"/>
      <c r="Q24" s="27"/>
    </row>
    <row r="25">
      <c r="D25" s="26"/>
      <c r="Q25" s="27"/>
    </row>
    <row r="26">
      <c r="D26" s="26"/>
      <c r="F26" s="11">
        <f t="shared" ref="F26:F41" si="10">J15/E15</f>
        <v>3.052644159</v>
      </c>
      <c r="Q26" s="27"/>
    </row>
    <row r="27">
      <c r="D27" s="26"/>
      <c r="F27" s="11">
        <f t="shared" si="10"/>
        <v>3.012080968</v>
      </c>
      <c r="Q27" s="27"/>
    </row>
    <row r="28">
      <c r="A28" s="9">
        <v>4.0</v>
      </c>
      <c r="B28" s="9"/>
      <c r="D28" s="26"/>
      <c r="F28" s="11">
        <f t="shared" si="10"/>
        <v>4.413676912</v>
      </c>
      <c r="Q28" s="27"/>
    </row>
    <row r="29">
      <c r="D29" s="26"/>
      <c r="F29" s="11">
        <f t="shared" si="10"/>
        <v>2.45927063</v>
      </c>
      <c r="Q29" s="27"/>
    </row>
    <row r="30">
      <c r="D30" s="26"/>
      <c r="F30" s="11">
        <f t="shared" si="10"/>
        <v>2.515335528</v>
      </c>
      <c r="Q30" s="27"/>
    </row>
    <row r="31">
      <c r="D31" s="26"/>
      <c r="F31" s="11">
        <f t="shared" si="10"/>
        <v>2.562542991</v>
      </c>
      <c r="Q31" s="27"/>
    </row>
    <row r="32">
      <c r="D32" s="26"/>
      <c r="F32" s="11">
        <f t="shared" si="10"/>
        <v>2.479832681</v>
      </c>
      <c r="Q32" s="27"/>
    </row>
    <row r="33">
      <c r="D33" s="26"/>
      <c r="F33" s="11">
        <f t="shared" si="10"/>
        <v>2.570808383</v>
      </c>
      <c r="Q33" s="27"/>
    </row>
    <row r="34">
      <c r="D34" s="26"/>
      <c r="F34" s="11" t="str">
        <f t="shared" si="10"/>
        <v>#DIV/0!</v>
      </c>
      <c r="Q34" s="27"/>
    </row>
    <row r="35">
      <c r="D35" s="26"/>
      <c r="F35" s="11" t="str">
        <f t="shared" si="10"/>
        <v>#DIV/0!</v>
      </c>
      <c r="Q35" s="27"/>
    </row>
    <row r="36">
      <c r="D36" s="26"/>
      <c r="F36" s="11" t="str">
        <f t="shared" si="10"/>
        <v>#DIV/0!</v>
      </c>
      <c r="Q36" s="27"/>
    </row>
    <row r="37">
      <c r="D37" s="26"/>
      <c r="F37" s="11" t="str">
        <f t="shared" si="10"/>
        <v>#DIV/0!</v>
      </c>
      <c r="Q37" s="27"/>
    </row>
    <row r="38">
      <c r="D38" s="26"/>
      <c r="F38" s="11" t="str">
        <f t="shared" si="10"/>
        <v>#DIV/0!</v>
      </c>
      <c r="Q38" s="27"/>
    </row>
    <row r="39">
      <c r="D39" s="26"/>
      <c r="F39" s="11" t="str">
        <f t="shared" si="10"/>
        <v>#DIV/0!</v>
      </c>
      <c r="Q39" s="27"/>
    </row>
    <row r="40">
      <c r="D40" s="26"/>
      <c r="F40" s="11" t="str">
        <f t="shared" si="10"/>
        <v>#DIV/0!</v>
      </c>
      <c r="Q40" s="27"/>
    </row>
    <row r="41">
      <c r="D41" s="26"/>
      <c r="F41" s="11" t="str">
        <f t="shared" si="10"/>
        <v>#DIV/0!</v>
      </c>
      <c r="Q41" s="27"/>
    </row>
    <row r="42">
      <c r="D42" s="26"/>
      <c r="Q42" s="27"/>
    </row>
    <row r="43">
      <c r="D43" s="26"/>
      <c r="Q43" s="27"/>
    </row>
    <row r="44">
      <c r="D44" s="26"/>
      <c r="Q44" s="27"/>
    </row>
    <row r="45">
      <c r="D45" s="26"/>
      <c r="Q45" s="27"/>
    </row>
    <row r="46">
      <c r="D46" s="26"/>
      <c r="Q46" s="27"/>
    </row>
    <row r="47">
      <c r="D47" s="26"/>
      <c r="Q47" s="27"/>
    </row>
    <row r="48">
      <c r="D48" s="26"/>
      <c r="Q48" s="27"/>
    </row>
    <row r="49">
      <c r="D49" s="26"/>
      <c r="Q49" s="27"/>
    </row>
    <row r="50">
      <c r="D50" s="26"/>
      <c r="Q50" s="27"/>
    </row>
    <row r="51">
      <c r="D51" s="26"/>
      <c r="Q51" s="27"/>
    </row>
    <row r="52">
      <c r="D52" s="26"/>
      <c r="Q52" s="27"/>
    </row>
    <row r="53">
      <c r="D53" s="26"/>
      <c r="Q53" s="27"/>
    </row>
    <row r="54">
      <c r="D54" s="26"/>
      <c r="Q54" s="27"/>
    </row>
    <row r="55">
      <c r="D55" s="26"/>
      <c r="Q55" s="27"/>
    </row>
    <row r="56">
      <c r="D56" s="26"/>
      <c r="Q56" s="27"/>
    </row>
    <row r="57">
      <c r="D57" s="26"/>
      <c r="Q57" s="27"/>
    </row>
    <row r="58">
      <c r="D58" s="26"/>
      <c r="Q58" s="27"/>
    </row>
    <row r="59">
      <c r="D59" s="26"/>
      <c r="Q59" s="27"/>
    </row>
    <row r="60">
      <c r="D60" s="26"/>
      <c r="Q60" s="27"/>
    </row>
    <row r="61">
      <c r="D61" s="26"/>
      <c r="Q61" s="27"/>
    </row>
    <row r="62">
      <c r="D62" s="26"/>
      <c r="Q62" s="27"/>
    </row>
    <row r="63">
      <c r="D63" s="26"/>
      <c r="Q63" s="27"/>
    </row>
    <row r="64">
      <c r="D64" s="26"/>
      <c r="Q64" s="27"/>
    </row>
    <row r="65">
      <c r="D65" s="26"/>
      <c r="Q65" s="27"/>
    </row>
    <row r="66">
      <c r="D66" s="26"/>
      <c r="Q66" s="27"/>
    </row>
    <row r="67">
      <c r="D67" s="26"/>
      <c r="Q67" s="27"/>
    </row>
    <row r="68">
      <c r="D68" s="26"/>
      <c r="Q68" s="27"/>
    </row>
    <row r="69">
      <c r="D69" s="26"/>
      <c r="Q69" s="27"/>
    </row>
    <row r="70">
      <c r="D70" s="26"/>
      <c r="Q70" s="27"/>
    </row>
    <row r="71">
      <c r="D71" s="26"/>
      <c r="Q71" s="27"/>
    </row>
    <row r="72">
      <c r="D72" s="26"/>
      <c r="Q72" s="27"/>
    </row>
    <row r="73">
      <c r="D73" s="26"/>
      <c r="Q73" s="27"/>
    </row>
    <row r="74">
      <c r="D74" s="26"/>
      <c r="Q74" s="27"/>
    </row>
    <row r="75">
      <c r="D75" s="26"/>
      <c r="Q75" s="27"/>
    </row>
    <row r="76">
      <c r="D76" s="26"/>
      <c r="Q76" s="27"/>
    </row>
    <row r="77">
      <c r="D77" s="26"/>
      <c r="Q77" s="27"/>
    </row>
    <row r="78">
      <c r="D78" s="26"/>
      <c r="Q78" s="27"/>
    </row>
    <row r="79">
      <c r="D79" s="26"/>
      <c r="Q79" s="27"/>
    </row>
    <row r="80">
      <c r="D80" s="26"/>
      <c r="Q80" s="27"/>
    </row>
    <row r="81">
      <c r="D81" s="26"/>
      <c r="Q81" s="27"/>
    </row>
    <row r="82">
      <c r="D82" s="26"/>
      <c r="Q82" s="27"/>
    </row>
    <row r="83">
      <c r="D83" s="26"/>
      <c r="Q83" s="27"/>
    </row>
    <row r="84">
      <c r="D84" s="26"/>
      <c r="Q84" s="27"/>
    </row>
    <row r="85">
      <c r="D85" s="26"/>
      <c r="Q85" s="27"/>
    </row>
    <row r="86">
      <c r="D86" s="26"/>
      <c r="Q86" s="27"/>
    </row>
    <row r="87">
      <c r="D87" s="26"/>
      <c r="Q87" s="27"/>
    </row>
    <row r="88">
      <c r="D88" s="26"/>
      <c r="Q88" s="27"/>
    </row>
    <row r="89">
      <c r="D89" s="26"/>
      <c r="Q89" s="27"/>
    </row>
    <row r="90">
      <c r="D90" s="26"/>
      <c r="Q90" s="27"/>
    </row>
    <row r="91">
      <c r="D91" s="26"/>
      <c r="Q91" s="27"/>
    </row>
    <row r="92">
      <c r="D92" s="26"/>
      <c r="Q92" s="27"/>
    </row>
    <row r="93">
      <c r="D93" s="26"/>
      <c r="Q93" s="27"/>
    </row>
    <row r="94">
      <c r="D94" s="26"/>
      <c r="Q94" s="27"/>
    </row>
    <row r="95">
      <c r="D95" s="26"/>
      <c r="Q95" s="27"/>
    </row>
    <row r="96">
      <c r="D96" s="26"/>
      <c r="Q96" s="27"/>
    </row>
    <row r="97">
      <c r="D97" s="26"/>
      <c r="Q97" s="27"/>
    </row>
    <row r="98">
      <c r="D98" s="26"/>
      <c r="Q98" s="27"/>
    </row>
    <row r="99">
      <c r="D99" s="26"/>
      <c r="Q99" s="27"/>
    </row>
    <row r="100">
      <c r="D100" s="26"/>
      <c r="Q100" s="27"/>
    </row>
    <row r="101">
      <c r="D101" s="26"/>
      <c r="Q101" s="27"/>
    </row>
    <row r="102">
      <c r="D102" s="26"/>
      <c r="Q102" s="27"/>
    </row>
    <row r="103">
      <c r="D103" s="26"/>
      <c r="Q103" s="27"/>
    </row>
    <row r="104">
      <c r="D104" s="26"/>
      <c r="Q104" s="27"/>
    </row>
    <row r="105">
      <c r="D105" s="26"/>
      <c r="Q105" s="27"/>
    </row>
    <row r="106">
      <c r="D106" s="26"/>
      <c r="Q106" s="27"/>
    </row>
    <row r="107">
      <c r="D107" s="26"/>
      <c r="Q107" s="27"/>
    </row>
    <row r="108">
      <c r="D108" s="26"/>
      <c r="Q108" s="27"/>
    </row>
    <row r="109">
      <c r="D109" s="26"/>
      <c r="Q109" s="27"/>
    </row>
    <row r="110">
      <c r="D110" s="26"/>
      <c r="Q110" s="27"/>
    </row>
    <row r="111">
      <c r="D111" s="26"/>
      <c r="Q111" s="27"/>
    </row>
    <row r="112">
      <c r="D112" s="26"/>
      <c r="Q112" s="27"/>
    </row>
    <row r="113">
      <c r="D113" s="26"/>
      <c r="Q113" s="27"/>
    </row>
    <row r="114">
      <c r="D114" s="26"/>
      <c r="Q114" s="27"/>
    </row>
    <row r="115">
      <c r="D115" s="26"/>
      <c r="Q115" s="27"/>
    </row>
    <row r="116">
      <c r="D116" s="26"/>
      <c r="Q116" s="27"/>
    </row>
    <row r="117">
      <c r="D117" s="26"/>
      <c r="Q117" s="27"/>
    </row>
    <row r="118">
      <c r="D118" s="26"/>
      <c r="Q118" s="27"/>
    </row>
    <row r="119">
      <c r="D119" s="26"/>
      <c r="Q119" s="27"/>
    </row>
    <row r="120">
      <c r="D120" s="26"/>
      <c r="Q120" s="27"/>
    </row>
    <row r="121">
      <c r="D121" s="26"/>
      <c r="Q121" s="27"/>
    </row>
    <row r="122">
      <c r="D122" s="26"/>
      <c r="Q122" s="27"/>
    </row>
    <row r="123">
      <c r="D123" s="26"/>
      <c r="Q123" s="27"/>
    </row>
    <row r="124">
      <c r="D124" s="26"/>
      <c r="Q124" s="27"/>
    </row>
    <row r="125">
      <c r="D125" s="26"/>
      <c r="Q125" s="27"/>
    </row>
    <row r="126">
      <c r="D126" s="26"/>
      <c r="Q126" s="27"/>
    </row>
    <row r="127">
      <c r="D127" s="26"/>
      <c r="Q127" s="27"/>
    </row>
    <row r="128">
      <c r="D128" s="26"/>
      <c r="Q128" s="27"/>
    </row>
    <row r="129">
      <c r="D129" s="26"/>
      <c r="Q129" s="27"/>
    </row>
    <row r="130">
      <c r="D130" s="26"/>
      <c r="Q130" s="27"/>
    </row>
    <row r="131">
      <c r="D131" s="26"/>
      <c r="Q131" s="27"/>
    </row>
    <row r="132">
      <c r="D132" s="26"/>
      <c r="Q132" s="27"/>
    </row>
    <row r="133">
      <c r="D133" s="26"/>
      <c r="Q133" s="27"/>
    </row>
    <row r="134">
      <c r="D134" s="26"/>
      <c r="Q134" s="27"/>
    </row>
    <row r="135">
      <c r="D135" s="26"/>
      <c r="Q135" s="27"/>
    </row>
    <row r="136">
      <c r="D136" s="26"/>
      <c r="Q136" s="27"/>
    </row>
    <row r="137">
      <c r="D137" s="26"/>
      <c r="Q137" s="27"/>
    </row>
    <row r="138">
      <c r="D138" s="26"/>
      <c r="Q138" s="27"/>
    </row>
    <row r="139">
      <c r="D139" s="26"/>
      <c r="Q139" s="27"/>
    </row>
    <row r="140">
      <c r="D140" s="26"/>
      <c r="Q140" s="27"/>
    </row>
    <row r="141">
      <c r="D141" s="26"/>
      <c r="Q141" s="27"/>
    </row>
    <row r="142">
      <c r="D142" s="26"/>
      <c r="Q142" s="27"/>
    </row>
    <row r="143">
      <c r="D143" s="26"/>
      <c r="Q143" s="27"/>
    </row>
    <row r="144">
      <c r="D144" s="26"/>
      <c r="Q144" s="27"/>
    </row>
    <row r="145">
      <c r="D145" s="26"/>
      <c r="Q145" s="27"/>
    </row>
    <row r="146">
      <c r="D146" s="26"/>
      <c r="Q146" s="27"/>
    </row>
    <row r="147">
      <c r="D147" s="26"/>
      <c r="Q147" s="27"/>
    </row>
    <row r="148">
      <c r="D148" s="26"/>
      <c r="Q148" s="27"/>
    </row>
    <row r="149">
      <c r="D149" s="26"/>
      <c r="Q149" s="27"/>
    </row>
    <row r="150">
      <c r="D150" s="26"/>
      <c r="Q150" s="27"/>
    </row>
    <row r="151">
      <c r="D151" s="26"/>
      <c r="Q151" s="27"/>
    </row>
    <row r="152">
      <c r="D152" s="26"/>
      <c r="Q152" s="27"/>
    </row>
    <row r="153">
      <c r="D153" s="26"/>
      <c r="Q153" s="27"/>
    </row>
    <row r="154">
      <c r="D154" s="26"/>
      <c r="Q154" s="27"/>
    </row>
    <row r="155">
      <c r="D155" s="26"/>
      <c r="Q155" s="27"/>
    </row>
    <row r="156">
      <c r="D156" s="26"/>
      <c r="Q156" s="27"/>
    </row>
    <row r="157">
      <c r="D157" s="26"/>
      <c r="Q157" s="27"/>
    </row>
    <row r="158">
      <c r="D158" s="26"/>
      <c r="Q158" s="27"/>
    </row>
    <row r="159">
      <c r="D159" s="26"/>
      <c r="Q159" s="27"/>
    </row>
    <row r="160">
      <c r="D160" s="26"/>
      <c r="Q160" s="27"/>
    </row>
    <row r="161">
      <c r="D161" s="26"/>
      <c r="Q161" s="27"/>
    </row>
    <row r="162">
      <c r="D162" s="26"/>
      <c r="Q162" s="27"/>
    </row>
    <row r="163">
      <c r="D163" s="26"/>
      <c r="Q163" s="27"/>
    </row>
    <row r="164">
      <c r="D164" s="26"/>
      <c r="Q164" s="27"/>
    </row>
    <row r="165">
      <c r="D165" s="26"/>
      <c r="Q165" s="27"/>
    </row>
    <row r="166">
      <c r="D166" s="26"/>
      <c r="Q166" s="27"/>
    </row>
    <row r="167">
      <c r="D167" s="26"/>
      <c r="Q167" s="27"/>
    </row>
    <row r="168">
      <c r="D168" s="26"/>
      <c r="Q168" s="27"/>
    </row>
    <row r="169">
      <c r="D169" s="26"/>
      <c r="Q169" s="27"/>
    </row>
    <row r="170">
      <c r="D170" s="26"/>
      <c r="Q170" s="27"/>
    </row>
    <row r="171">
      <c r="D171" s="26"/>
      <c r="Q171" s="27"/>
    </row>
    <row r="172">
      <c r="D172" s="26"/>
      <c r="Q172" s="27"/>
    </row>
    <row r="173">
      <c r="D173" s="26"/>
      <c r="Q173" s="27"/>
    </row>
    <row r="174">
      <c r="D174" s="26"/>
      <c r="Q174" s="27"/>
    </row>
    <row r="175">
      <c r="D175" s="26"/>
      <c r="Q175" s="27"/>
    </row>
    <row r="176">
      <c r="D176" s="26"/>
      <c r="Q176" s="27"/>
    </row>
    <row r="177">
      <c r="D177" s="26"/>
      <c r="Q177" s="27"/>
    </row>
    <row r="178">
      <c r="D178" s="26"/>
      <c r="Q178" s="27"/>
    </row>
    <row r="179">
      <c r="D179" s="26"/>
      <c r="Q179" s="27"/>
    </row>
    <row r="180">
      <c r="D180" s="26"/>
      <c r="Q180" s="27"/>
    </row>
    <row r="181">
      <c r="D181" s="26"/>
      <c r="Q181" s="27"/>
    </row>
    <row r="182">
      <c r="D182" s="26"/>
      <c r="Q182" s="27"/>
    </row>
    <row r="183">
      <c r="D183" s="26"/>
      <c r="Q183" s="27"/>
    </row>
    <row r="184">
      <c r="D184" s="26"/>
      <c r="Q184" s="27"/>
    </row>
    <row r="185">
      <c r="D185" s="26"/>
      <c r="Q185" s="27"/>
    </row>
    <row r="186">
      <c r="D186" s="26"/>
      <c r="Q186" s="27"/>
    </row>
    <row r="187">
      <c r="D187" s="26"/>
      <c r="Q187" s="27"/>
    </row>
    <row r="188">
      <c r="D188" s="26"/>
      <c r="Q188" s="27"/>
    </row>
    <row r="189">
      <c r="D189" s="26"/>
      <c r="Q189" s="27"/>
    </row>
    <row r="190">
      <c r="D190" s="26"/>
      <c r="Q190" s="27"/>
    </row>
    <row r="191">
      <c r="D191" s="26"/>
      <c r="Q191" s="27"/>
    </row>
    <row r="192">
      <c r="D192" s="26"/>
      <c r="Q192" s="27"/>
    </row>
    <row r="193">
      <c r="D193" s="26"/>
      <c r="Q193" s="27"/>
    </row>
    <row r="194">
      <c r="D194" s="26"/>
      <c r="Q194" s="27"/>
    </row>
    <row r="195">
      <c r="D195" s="26"/>
      <c r="Q195" s="27"/>
    </row>
    <row r="196">
      <c r="D196" s="26"/>
      <c r="Q196" s="27"/>
    </row>
    <row r="197">
      <c r="D197" s="26"/>
      <c r="Q197" s="27"/>
    </row>
    <row r="198">
      <c r="D198" s="26"/>
      <c r="Q198" s="27"/>
    </row>
    <row r="199">
      <c r="D199" s="26"/>
      <c r="Q199" s="27"/>
    </row>
    <row r="200">
      <c r="D200" s="26"/>
      <c r="Q200" s="27"/>
    </row>
    <row r="201">
      <c r="D201" s="26"/>
      <c r="Q201" s="27"/>
    </row>
    <row r="202">
      <c r="D202" s="26"/>
      <c r="Q202" s="27"/>
    </row>
    <row r="203">
      <c r="D203" s="26"/>
      <c r="Q203" s="27"/>
    </row>
    <row r="204">
      <c r="D204" s="26"/>
      <c r="Q204" s="27"/>
    </row>
    <row r="205">
      <c r="D205" s="26"/>
      <c r="Q205" s="27"/>
    </row>
    <row r="206">
      <c r="D206" s="26"/>
      <c r="Q206" s="27"/>
    </row>
    <row r="207">
      <c r="D207" s="26"/>
      <c r="Q207" s="27"/>
    </row>
    <row r="208">
      <c r="D208" s="26"/>
      <c r="Q208" s="27"/>
    </row>
    <row r="209">
      <c r="D209" s="26"/>
      <c r="Q209" s="27"/>
    </row>
    <row r="210">
      <c r="D210" s="26"/>
      <c r="Q210" s="27"/>
    </row>
    <row r="211">
      <c r="D211" s="26"/>
      <c r="Q211" s="27"/>
    </row>
    <row r="212">
      <c r="D212" s="26"/>
      <c r="Q212" s="27"/>
    </row>
    <row r="213">
      <c r="D213" s="26"/>
      <c r="Q213" s="27"/>
    </row>
    <row r="214">
      <c r="D214" s="26"/>
      <c r="Q214" s="27"/>
    </row>
    <row r="215">
      <c r="D215" s="26"/>
      <c r="Q215" s="27"/>
    </row>
    <row r="216">
      <c r="D216" s="26"/>
      <c r="Q216" s="27"/>
    </row>
    <row r="217">
      <c r="D217" s="26"/>
      <c r="Q217" s="27"/>
    </row>
    <row r="218">
      <c r="D218" s="26"/>
      <c r="Q218" s="27"/>
    </row>
    <row r="219">
      <c r="D219" s="26"/>
      <c r="Q219" s="27"/>
    </row>
    <row r="220">
      <c r="D220" s="26"/>
      <c r="Q220" s="27"/>
    </row>
    <row r="221">
      <c r="D221" s="26"/>
      <c r="Q221" s="27"/>
    </row>
    <row r="222">
      <c r="D222" s="26"/>
      <c r="Q222" s="27"/>
    </row>
    <row r="223">
      <c r="D223" s="26"/>
      <c r="Q223" s="27"/>
    </row>
    <row r="224">
      <c r="D224" s="26"/>
      <c r="Q224" s="27"/>
    </row>
    <row r="225">
      <c r="D225" s="26"/>
      <c r="Q225" s="27"/>
    </row>
    <row r="226">
      <c r="D226" s="26"/>
      <c r="Q226" s="27"/>
    </row>
    <row r="227">
      <c r="D227" s="26"/>
      <c r="Q227" s="27"/>
    </row>
    <row r="228">
      <c r="D228" s="26"/>
      <c r="Q228" s="27"/>
    </row>
    <row r="229">
      <c r="D229" s="26"/>
      <c r="Q229" s="27"/>
    </row>
    <row r="230">
      <c r="D230" s="26"/>
      <c r="Q230" s="27"/>
    </row>
    <row r="231">
      <c r="D231" s="26"/>
      <c r="Q231" s="27"/>
    </row>
    <row r="232">
      <c r="D232" s="26"/>
      <c r="Q232" s="27"/>
    </row>
    <row r="233">
      <c r="D233" s="26"/>
      <c r="Q233" s="27"/>
    </row>
    <row r="234">
      <c r="D234" s="26"/>
      <c r="Q234" s="27"/>
    </row>
    <row r="235">
      <c r="D235" s="26"/>
      <c r="Q235" s="27"/>
    </row>
    <row r="236">
      <c r="D236" s="26"/>
      <c r="Q236" s="27"/>
    </row>
    <row r="237">
      <c r="D237" s="26"/>
      <c r="Q237" s="27"/>
    </row>
    <row r="238">
      <c r="D238" s="26"/>
      <c r="Q238" s="27"/>
    </row>
    <row r="239">
      <c r="D239" s="26"/>
      <c r="Q239" s="27"/>
    </row>
    <row r="240">
      <c r="D240" s="26"/>
      <c r="Q240" s="27"/>
    </row>
    <row r="241">
      <c r="D241" s="26"/>
      <c r="Q241" s="27"/>
    </row>
    <row r="242">
      <c r="D242" s="26"/>
      <c r="Q242" s="27"/>
    </row>
    <row r="243">
      <c r="D243" s="26"/>
      <c r="Q243" s="27"/>
    </row>
    <row r="244">
      <c r="D244" s="26"/>
      <c r="Q244" s="27"/>
    </row>
    <row r="245">
      <c r="D245" s="26"/>
      <c r="Q245" s="27"/>
    </row>
    <row r="246">
      <c r="D246" s="26"/>
      <c r="Q246" s="27"/>
    </row>
    <row r="247">
      <c r="D247" s="26"/>
      <c r="Q247" s="27"/>
    </row>
    <row r="248">
      <c r="D248" s="26"/>
      <c r="Q248" s="27"/>
    </row>
    <row r="249">
      <c r="D249" s="26"/>
      <c r="Q249" s="27"/>
    </row>
    <row r="250">
      <c r="D250" s="26"/>
      <c r="Q250" s="27"/>
    </row>
    <row r="251">
      <c r="D251" s="26"/>
      <c r="Q251" s="27"/>
    </row>
    <row r="252">
      <c r="D252" s="26"/>
      <c r="Q252" s="27"/>
    </row>
    <row r="253">
      <c r="D253" s="26"/>
      <c r="Q253" s="27"/>
    </row>
    <row r="254">
      <c r="D254" s="26"/>
      <c r="Q254" s="27"/>
    </row>
    <row r="255">
      <c r="D255" s="26"/>
      <c r="Q255" s="27"/>
    </row>
    <row r="256">
      <c r="D256" s="26"/>
      <c r="Q256" s="27"/>
    </row>
    <row r="257">
      <c r="D257" s="26"/>
      <c r="Q257" s="27"/>
    </row>
    <row r="258">
      <c r="D258" s="26"/>
      <c r="Q258" s="27"/>
    </row>
    <row r="259">
      <c r="D259" s="26"/>
      <c r="Q259" s="27"/>
    </row>
    <row r="260">
      <c r="D260" s="26"/>
      <c r="Q260" s="27"/>
    </row>
    <row r="261">
      <c r="D261" s="26"/>
      <c r="Q261" s="27"/>
    </row>
    <row r="262">
      <c r="D262" s="26"/>
      <c r="Q262" s="27"/>
    </row>
    <row r="263">
      <c r="D263" s="26"/>
      <c r="Q263" s="27"/>
    </row>
    <row r="264">
      <c r="D264" s="26"/>
      <c r="Q264" s="27"/>
    </row>
    <row r="265">
      <c r="D265" s="26"/>
      <c r="Q265" s="27"/>
    </row>
    <row r="266">
      <c r="D266" s="26"/>
      <c r="Q266" s="27"/>
    </row>
    <row r="267">
      <c r="D267" s="26"/>
      <c r="Q267" s="27"/>
    </row>
    <row r="268">
      <c r="D268" s="26"/>
      <c r="Q268" s="27"/>
    </row>
    <row r="269">
      <c r="D269" s="26"/>
      <c r="Q269" s="27"/>
    </row>
    <row r="270">
      <c r="D270" s="26"/>
      <c r="Q270" s="27"/>
    </row>
    <row r="271">
      <c r="D271" s="26"/>
      <c r="Q271" s="27"/>
    </row>
    <row r="272">
      <c r="D272" s="26"/>
      <c r="Q272" s="27"/>
    </row>
    <row r="273">
      <c r="D273" s="26"/>
      <c r="Q273" s="27"/>
    </row>
    <row r="274">
      <c r="D274" s="26"/>
      <c r="Q274" s="27"/>
    </row>
    <row r="275">
      <c r="D275" s="26"/>
      <c r="Q275" s="27"/>
    </row>
    <row r="276">
      <c r="D276" s="26"/>
      <c r="Q276" s="27"/>
    </row>
    <row r="277">
      <c r="D277" s="26"/>
      <c r="Q277" s="27"/>
    </row>
    <row r="278">
      <c r="D278" s="26"/>
      <c r="Q278" s="27"/>
    </row>
    <row r="279">
      <c r="D279" s="26"/>
      <c r="Q279" s="27"/>
    </row>
    <row r="280">
      <c r="D280" s="26"/>
      <c r="Q280" s="27"/>
    </row>
    <row r="281">
      <c r="D281" s="26"/>
      <c r="Q281" s="27"/>
    </row>
    <row r="282">
      <c r="D282" s="26"/>
      <c r="Q282" s="27"/>
    </row>
    <row r="283">
      <c r="D283" s="26"/>
      <c r="Q283" s="27"/>
    </row>
    <row r="284">
      <c r="D284" s="26"/>
      <c r="Q284" s="27"/>
    </row>
    <row r="285">
      <c r="D285" s="26"/>
      <c r="Q285" s="27"/>
    </row>
    <row r="286">
      <c r="D286" s="26"/>
      <c r="Q286" s="27"/>
    </row>
    <row r="287">
      <c r="D287" s="26"/>
      <c r="Q287" s="27"/>
    </row>
    <row r="288">
      <c r="D288" s="26"/>
      <c r="Q288" s="27"/>
    </row>
    <row r="289">
      <c r="D289" s="26"/>
      <c r="Q289" s="27"/>
    </row>
    <row r="290">
      <c r="D290" s="26"/>
      <c r="Q290" s="27"/>
    </row>
    <row r="291">
      <c r="D291" s="26"/>
      <c r="Q291" s="27"/>
    </row>
    <row r="292">
      <c r="D292" s="26"/>
      <c r="Q292" s="27"/>
    </row>
    <row r="293">
      <c r="D293" s="26"/>
      <c r="Q293" s="27"/>
    </row>
    <row r="294">
      <c r="D294" s="26"/>
      <c r="Q294" s="27"/>
    </row>
    <row r="295">
      <c r="D295" s="26"/>
      <c r="Q295" s="27"/>
    </row>
    <row r="296">
      <c r="D296" s="26"/>
      <c r="Q296" s="27"/>
    </row>
    <row r="297">
      <c r="D297" s="26"/>
      <c r="Q297" s="27"/>
    </row>
    <row r="298">
      <c r="D298" s="26"/>
      <c r="Q298" s="27"/>
    </row>
    <row r="299">
      <c r="D299" s="26"/>
      <c r="Q299" s="27"/>
    </row>
    <row r="300">
      <c r="D300" s="26"/>
      <c r="Q300" s="27"/>
    </row>
    <row r="301">
      <c r="D301" s="26"/>
      <c r="Q301" s="27"/>
    </row>
    <row r="302">
      <c r="D302" s="26"/>
      <c r="Q302" s="27"/>
    </row>
    <row r="303">
      <c r="D303" s="26"/>
      <c r="Q303" s="27"/>
    </row>
    <row r="304">
      <c r="D304" s="26"/>
      <c r="Q304" s="27"/>
    </row>
    <row r="305">
      <c r="D305" s="26"/>
      <c r="Q305" s="27"/>
    </row>
    <row r="306">
      <c r="D306" s="26"/>
      <c r="Q306" s="27"/>
    </row>
    <row r="307">
      <c r="D307" s="26"/>
      <c r="Q307" s="27"/>
    </row>
    <row r="308">
      <c r="D308" s="26"/>
      <c r="Q308" s="27"/>
    </row>
    <row r="309">
      <c r="D309" s="26"/>
      <c r="Q309" s="27"/>
    </row>
    <row r="310">
      <c r="D310" s="26"/>
      <c r="Q310" s="27"/>
    </row>
    <row r="311">
      <c r="D311" s="26"/>
      <c r="Q311" s="27"/>
    </row>
    <row r="312">
      <c r="D312" s="26"/>
      <c r="Q312" s="27"/>
    </row>
    <row r="313">
      <c r="D313" s="26"/>
      <c r="Q313" s="27"/>
    </row>
    <row r="314">
      <c r="D314" s="26"/>
      <c r="Q314" s="27"/>
    </row>
    <row r="315">
      <c r="D315" s="26"/>
      <c r="Q315" s="27"/>
    </row>
    <row r="316">
      <c r="D316" s="26"/>
      <c r="Q316" s="27"/>
    </row>
    <row r="317">
      <c r="D317" s="26"/>
      <c r="Q317" s="27"/>
    </row>
    <row r="318">
      <c r="D318" s="26"/>
      <c r="Q318" s="27"/>
    </row>
    <row r="319">
      <c r="D319" s="26"/>
      <c r="Q319" s="27"/>
    </row>
    <row r="320">
      <c r="D320" s="26"/>
      <c r="Q320" s="27"/>
    </row>
    <row r="321">
      <c r="D321" s="26"/>
      <c r="Q321" s="27"/>
    </row>
    <row r="322">
      <c r="D322" s="26"/>
      <c r="Q322" s="27"/>
    </row>
    <row r="323">
      <c r="D323" s="26"/>
      <c r="Q323" s="27"/>
    </row>
    <row r="324">
      <c r="D324" s="26"/>
      <c r="Q324" s="27"/>
    </row>
    <row r="325">
      <c r="D325" s="26"/>
      <c r="Q325" s="27"/>
    </row>
    <row r="326">
      <c r="D326" s="26"/>
      <c r="Q326" s="27"/>
    </row>
    <row r="327">
      <c r="D327" s="26"/>
      <c r="Q327" s="27"/>
    </row>
    <row r="328">
      <c r="D328" s="26"/>
      <c r="Q328" s="27"/>
    </row>
    <row r="329">
      <c r="D329" s="26"/>
      <c r="Q329" s="27"/>
    </row>
    <row r="330">
      <c r="D330" s="26"/>
      <c r="Q330" s="27"/>
    </row>
    <row r="331">
      <c r="D331" s="26"/>
      <c r="Q331" s="27"/>
    </row>
    <row r="332">
      <c r="D332" s="26"/>
      <c r="Q332" s="27"/>
    </row>
    <row r="333">
      <c r="D333" s="26"/>
      <c r="Q333" s="27"/>
    </row>
    <row r="334">
      <c r="D334" s="26"/>
      <c r="Q334" s="27"/>
    </row>
    <row r="335">
      <c r="D335" s="26"/>
      <c r="Q335" s="27"/>
    </row>
    <row r="336">
      <c r="D336" s="26"/>
      <c r="Q336" s="27"/>
    </row>
    <row r="337">
      <c r="D337" s="26"/>
      <c r="Q337" s="27"/>
    </row>
    <row r="338">
      <c r="D338" s="26"/>
      <c r="Q338" s="27"/>
    </row>
    <row r="339">
      <c r="D339" s="26"/>
      <c r="Q339" s="27"/>
    </row>
    <row r="340">
      <c r="D340" s="26"/>
      <c r="Q340" s="27"/>
    </row>
    <row r="341">
      <c r="D341" s="26"/>
      <c r="Q341" s="27"/>
    </row>
    <row r="342">
      <c r="D342" s="26"/>
      <c r="Q342" s="27"/>
    </row>
    <row r="343">
      <c r="D343" s="26"/>
      <c r="Q343" s="27"/>
    </row>
    <row r="344">
      <c r="D344" s="26"/>
      <c r="Q344" s="27"/>
    </row>
    <row r="345">
      <c r="D345" s="26"/>
      <c r="Q345" s="27"/>
    </row>
    <row r="346">
      <c r="D346" s="26"/>
      <c r="Q346" s="27"/>
    </row>
    <row r="347">
      <c r="D347" s="26"/>
      <c r="Q347" s="27"/>
    </row>
    <row r="348">
      <c r="D348" s="26"/>
      <c r="Q348" s="27"/>
    </row>
    <row r="349">
      <c r="D349" s="26"/>
      <c r="Q349" s="27"/>
    </row>
    <row r="350">
      <c r="D350" s="26"/>
      <c r="Q350" s="27"/>
    </row>
    <row r="351">
      <c r="D351" s="26"/>
      <c r="Q351" s="27"/>
    </row>
    <row r="352">
      <c r="D352" s="26"/>
      <c r="Q352" s="27"/>
    </row>
    <row r="353">
      <c r="D353" s="26"/>
      <c r="Q353" s="27"/>
    </row>
    <row r="354">
      <c r="D354" s="26"/>
      <c r="Q354" s="27"/>
    </row>
    <row r="355">
      <c r="D355" s="26"/>
      <c r="Q355" s="27"/>
    </row>
    <row r="356">
      <c r="D356" s="26"/>
      <c r="Q356" s="27"/>
    </row>
    <row r="357">
      <c r="D357" s="26"/>
      <c r="Q357" s="27"/>
    </row>
    <row r="358">
      <c r="D358" s="26"/>
      <c r="Q358" s="27"/>
    </row>
    <row r="359">
      <c r="D359" s="26"/>
      <c r="Q359" s="27"/>
    </row>
    <row r="360">
      <c r="D360" s="26"/>
      <c r="Q360" s="27"/>
    </row>
    <row r="361">
      <c r="D361" s="26"/>
      <c r="Q361" s="27"/>
    </row>
    <row r="362">
      <c r="D362" s="26"/>
      <c r="Q362" s="27"/>
    </row>
    <row r="363">
      <c r="D363" s="26"/>
      <c r="Q363" s="27"/>
    </row>
    <row r="364">
      <c r="D364" s="26"/>
      <c r="Q364" s="27"/>
    </row>
    <row r="365">
      <c r="D365" s="26"/>
      <c r="Q365" s="27"/>
    </row>
    <row r="366">
      <c r="D366" s="26"/>
      <c r="Q366" s="27"/>
    </row>
    <row r="367">
      <c r="D367" s="26"/>
      <c r="Q367" s="27"/>
    </row>
    <row r="368">
      <c r="D368" s="26"/>
      <c r="Q368" s="27"/>
    </row>
    <row r="369">
      <c r="D369" s="26"/>
      <c r="Q369" s="27"/>
    </row>
    <row r="370">
      <c r="D370" s="26"/>
      <c r="Q370" s="27"/>
    </row>
    <row r="371">
      <c r="D371" s="26"/>
      <c r="Q371" s="27"/>
    </row>
    <row r="372">
      <c r="D372" s="26"/>
      <c r="Q372" s="27"/>
    </row>
    <row r="373">
      <c r="D373" s="26"/>
      <c r="Q373" s="27"/>
    </row>
    <row r="374">
      <c r="D374" s="26"/>
      <c r="Q374" s="27"/>
    </row>
    <row r="375">
      <c r="D375" s="26"/>
      <c r="Q375" s="27"/>
    </row>
    <row r="376">
      <c r="D376" s="26"/>
      <c r="Q376" s="27"/>
    </row>
    <row r="377">
      <c r="D377" s="26"/>
      <c r="Q377" s="27"/>
    </row>
    <row r="378">
      <c r="D378" s="26"/>
      <c r="Q378" s="27"/>
    </row>
    <row r="379">
      <c r="D379" s="26"/>
      <c r="Q379" s="27"/>
    </row>
    <row r="380">
      <c r="D380" s="26"/>
      <c r="Q380" s="27"/>
    </row>
    <row r="381">
      <c r="D381" s="26"/>
      <c r="Q381" s="27"/>
    </row>
    <row r="382">
      <c r="D382" s="26"/>
      <c r="Q382" s="27"/>
    </row>
    <row r="383">
      <c r="D383" s="26"/>
      <c r="Q383" s="27"/>
    </row>
    <row r="384">
      <c r="D384" s="26"/>
      <c r="Q384" s="27"/>
    </row>
    <row r="385">
      <c r="D385" s="26"/>
      <c r="Q385" s="27"/>
    </row>
    <row r="386">
      <c r="D386" s="26"/>
      <c r="Q386" s="27"/>
    </row>
    <row r="387">
      <c r="D387" s="26"/>
      <c r="Q387" s="27"/>
    </row>
    <row r="388">
      <c r="D388" s="26"/>
      <c r="Q388" s="27"/>
    </row>
    <row r="389">
      <c r="D389" s="26"/>
      <c r="Q389" s="27"/>
    </row>
    <row r="390">
      <c r="D390" s="26"/>
      <c r="Q390" s="27"/>
    </row>
    <row r="391">
      <c r="D391" s="26"/>
      <c r="Q391" s="27"/>
    </row>
    <row r="392">
      <c r="D392" s="26"/>
      <c r="Q392" s="27"/>
    </row>
    <row r="393">
      <c r="D393" s="26"/>
      <c r="Q393" s="27"/>
    </row>
    <row r="394">
      <c r="D394" s="26"/>
      <c r="Q394" s="27"/>
    </row>
    <row r="395">
      <c r="D395" s="26"/>
      <c r="Q395" s="27"/>
    </row>
    <row r="396">
      <c r="D396" s="26"/>
      <c r="Q396" s="27"/>
    </row>
    <row r="397">
      <c r="D397" s="26"/>
      <c r="Q397" s="27"/>
    </row>
    <row r="398">
      <c r="D398" s="26"/>
      <c r="Q398" s="27"/>
    </row>
    <row r="399">
      <c r="D399" s="26"/>
      <c r="Q399" s="27"/>
    </row>
    <row r="400">
      <c r="D400" s="26"/>
      <c r="Q400" s="27"/>
    </row>
    <row r="401">
      <c r="D401" s="26"/>
      <c r="Q401" s="27"/>
    </row>
    <row r="402">
      <c r="D402" s="26"/>
      <c r="Q402" s="27"/>
    </row>
    <row r="403">
      <c r="D403" s="26"/>
      <c r="Q403" s="27"/>
    </row>
    <row r="404">
      <c r="D404" s="26"/>
      <c r="Q404" s="27"/>
    </row>
    <row r="405">
      <c r="D405" s="26"/>
      <c r="Q405" s="27"/>
    </row>
    <row r="406">
      <c r="D406" s="26"/>
      <c r="Q406" s="27"/>
    </row>
    <row r="407">
      <c r="D407" s="26"/>
      <c r="Q407" s="27"/>
    </row>
    <row r="408">
      <c r="D408" s="26"/>
      <c r="Q408" s="27"/>
    </row>
    <row r="409">
      <c r="D409" s="26"/>
      <c r="Q409" s="27"/>
    </row>
    <row r="410">
      <c r="D410" s="26"/>
      <c r="Q410" s="27"/>
    </row>
    <row r="411">
      <c r="D411" s="26"/>
      <c r="Q411" s="27"/>
    </row>
    <row r="412">
      <c r="D412" s="26"/>
      <c r="Q412" s="27"/>
    </row>
    <row r="413">
      <c r="D413" s="26"/>
      <c r="Q413" s="27"/>
    </row>
    <row r="414">
      <c r="D414" s="26"/>
      <c r="Q414" s="27"/>
    </row>
    <row r="415">
      <c r="D415" s="26"/>
      <c r="Q415" s="27"/>
    </row>
    <row r="416">
      <c r="D416" s="26"/>
      <c r="Q416" s="27"/>
    </row>
    <row r="417">
      <c r="D417" s="26"/>
      <c r="Q417" s="27"/>
    </row>
    <row r="418">
      <c r="D418" s="26"/>
      <c r="Q418" s="27"/>
    </row>
    <row r="419">
      <c r="D419" s="26"/>
      <c r="Q419" s="27"/>
    </row>
    <row r="420">
      <c r="D420" s="26"/>
      <c r="Q420" s="27"/>
    </row>
    <row r="421">
      <c r="D421" s="26"/>
      <c r="Q421" s="27"/>
    </row>
    <row r="422">
      <c r="D422" s="26"/>
      <c r="Q422" s="27"/>
    </row>
    <row r="423">
      <c r="D423" s="26"/>
      <c r="Q423" s="27"/>
    </row>
    <row r="424">
      <c r="D424" s="26"/>
      <c r="Q424" s="27"/>
    </row>
    <row r="425">
      <c r="D425" s="26"/>
      <c r="Q425" s="27"/>
    </row>
    <row r="426">
      <c r="D426" s="26"/>
      <c r="Q426" s="27"/>
    </row>
    <row r="427">
      <c r="D427" s="26"/>
      <c r="Q427" s="27"/>
    </row>
    <row r="428">
      <c r="D428" s="26"/>
      <c r="Q428" s="27"/>
    </row>
    <row r="429">
      <c r="D429" s="26"/>
      <c r="Q429" s="27"/>
    </row>
    <row r="430">
      <c r="D430" s="26"/>
      <c r="Q430" s="27"/>
    </row>
    <row r="431">
      <c r="D431" s="26"/>
      <c r="Q431" s="27"/>
    </row>
    <row r="432">
      <c r="D432" s="26"/>
      <c r="Q432" s="27"/>
    </row>
    <row r="433">
      <c r="D433" s="26"/>
      <c r="Q433" s="27"/>
    </row>
    <row r="434">
      <c r="D434" s="26"/>
      <c r="Q434" s="27"/>
    </row>
    <row r="435">
      <c r="D435" s="26"/>
      <c r="Q435" s="27"/>
    </row>
    <row r="436">
      <c r="D436" s="26"/>
      <c r="Q436" s="27"/>
    </row>
    <row r="437">
      <c r="D437" s="26"/>
      <c r="Q437" s="27"/>
    </row>
    <row r="438">
      <c r="D438" s="26"/>
      <c r="Q438" s="27"/>
    </row>
    <row r="439">
      <c r="D439" s="26"/>
      <c r="Q439" s="27"/>
    </row>
    <row r="440">
      <c r="D440" s="26"/>
      <c r="Q440" s="27"/>
    </row>
    <row r="441">
      <c r="D441" s="26"/>
      <c r="Q441" s="27"/>
    </row>
    <row r="442">
      <c r="D442" s="26"/>
      <c r="Q442" s="27"/>
    </row>
    <row r="443">
      <c r="D443" s="26"/>
      <c r="Q443" s="27"/>
    </row>
    <row r="444">
      <c r="D444" s="26"/>
      <c r="Q444" s="27"/>
    </row>
    <row r="445">
      <c r="D445" s="26"/>
      <c r="Q445" s="27"/>
    </row>
    <row r="446">
      <c r="D446" s="26"/>
      <c r="Q446" s="27"/>
    </row>
    <row r="447">
      <c r="D447" s="26"/>
      <c r="Q447" s="27"/>
    </row>
    <row r="448">
      <c r="D448" s="26"/>
      <c r="Q448" s="27"/>
    </row>
    <row r="449">
      <c r="D449" s="26"/>
      <c r="Q449" s="27"/>
    </row>
    <row r="450">
      <c r="D450" s="26"/>
      <c r="Q450" s="27"/>
    </row>
    <row r="451">
      <c r="D451" s="26"/>
      <c r="Q451" s="27"/>
    </row>
    <row r="452">
      <c r="D452" s="26"/>
      <c r="Q452" s="27"/>
    </row>
    <row r="453">
      <c r="D453" s="26"/>
      <c r="Q453" s="27"/>
    </row>
    <row r="454">
      <c r="D454" s="26"/>
      <c r="Q454" s="27"/>
    </row>
    <row r="455">
      <c r="D455" s="26"/>
      <c r="Q455" s="27"/>
    </row>
    <row r="456">
      <c r="D456" s="26"/>
      <c r="Q456" s="27"/>
    </row>
    <row r="457">
      <c r="D457" s="26"/>
      <c r="Q457" s="27"/>
    </row>
    <row r="458">
      <c r="D458" s="26"/>
      <c r="Q458" s="27"/>
    </row>
    <row r="459">
      <c r="D459" s="26"/>
      <c r="Q459" s="27"/>
    </row>
    <row r="460">
      <c r="D460" s="26"/>
      <c r="Q460" s="27"/>
    </row>
    <row r="461">
      <c r="D461" s="26"/>
      <c r="Q461" s="27"/>
    </row>
    <row r="462">
      <c r="D462" s="26"/>
      <c r="Q462" s="27"/>
    </row>
    <row r="463">
      <c r="D463" s="26"/>
      <c r="Q463" s="27"/>
    </row>
    <row r="464">
      <c r="D464" s="26"/>
      <c r="Q464" s="27"/>
    </row>
    <row r="465">
      <c r="D465" s="26"/>
      <c r="Q465" s="27"/>
    </row>
    <row r="466">
      <c r="D466" s="26"/>
      <c r="Q466" s="27"/>
    </row>
    <row r="467">
      <c r="D467" s="26"/>
      <c r="Q467" s="27"/>
    </row>
    <row r="468">
      <c r="D468" s="26"/>
      <c r="Q468" s="27"/>
    </row>
    <row r="469">
      <c r="D469" s="26"/>
      <c r="Q469" s="27"/>
    </row>
    <row r="470">
      <c r="D470" s="26"/>
      <c r="Q470" s="27"/>
    </row>
    <row r="471">
      <c r="D471" s="26"/>
      <c r="Q471" s="27"/>
    </row>
    <row r="472">
      <c r="D472" s="26"/>
      <c r="Q472" s="27"/>
    </row>
    <row r="473">
      <c r="D473" s="26"/>
      <c r="Q473" s="27"/>
    </row>
    <row r="474">
      <c r="D474" s="26"/>
      <c r="Q474" s="27"/>
    </row>
    <row r="475">
      <c r="D475" s="26"/>
      <c r="Q475" s="27"/>
    </row>
    <row r="476">
      <c r="D476" s="26"/>
      <c r="Q476" s="27"/>
    </row>
    <row r="477">
      <c r="D477" s="26"/>
      <c r="Q477" s="27"/>
    </row>
    <row r="478">
      <c r="D478" s="26"/>
      <c r="Q478" s="27"/>
    </row>
    <row r="479">
      <c r="D479" s="26"/>
      <c r="Q479" s="27"/>
    </row>
    <row r="480">
      <c r="D480" s="26"/>
      <c r="Q480" s="27"/>
    </row>
    <row r="481">
      <c r="D481" s="26"/>
      <c r="Q481" s="27"/>
    </row>
    <row r="482">
      <c r="D482" s="26"/>
      <c r="Q482" s="27"/>
    </row>
    <row r="483">
      <c r="D483" s="26"/>
      <c r="Q483" s="27"/>
    </row>
    <row r="484">
      <c r="D484" s="26"/>
      <c r="Q484" s="27"/>
    </row>
    <row r="485">
      <c r="D485" s="26"/>
      <c r="Q485" s="27"/>
    </row>
    <row r="486">
      <c r="D486" s="26"/>
      <c r="Q486" s="27"/>
    </row>
    <row r="487">
      <c r="D487" s="26"/>
      <c r="Q487" s="27"/>
    </row>
    <row r="488">
      <c r="D488" s="26"/>
      <c r="Q488" s="27"/>
    </row>
    <row r="489">
      <c r="D489" s="26"/>
      <c r="Q489" s="27"/>
    </row>
    <row r="490">
      <c r="D490" s="26"/>
      <c r="Q490" s="27"/>
    </row>
    <row r="491">
      <c r="D491" s="26"/>
      <c r="Q491" s="27"/>
    </row>
    <row r="492">
      <c r="D492" s="26"/>
      <c r="Q492" s="27"/>
    </row>
    <row r="493">
      <c r="D493" s="26"/>
      <c r="Q493" s="27"/>
    </row>
    <row r="494">
      <c r="D494" s="26"/>
      <c r="Q494" s="27"/>
    </row>
    <row r="495">
      <c r="D495" s="26"/>
      <c r="Q495" s="27"/>
    </row>
    <row r="496">
      <c r="D496" s="26"/>
      <c r="Q496" s="27"/>
    </row>
    <row r="497">
      <c r="D497" s="26"/>
      <c r="Q497" s="27"/>
    </row>
    <row r="498">
      <c r="D498" s="26"/>
      <c r="Q498" s="27"/>
    </row>
    <row r="499">
      <c r="D499" s="26"/>
      <c r="Q499" s="27"/>
    </row>
    <row r="500">
      <c r="D500" s="26"/>
      <c r="Q500" s="27"/>
    </row>
    <row r="501">
      <c r="D501" s="26"/>
      <c r="Q501" s="27"/>
    </row>
    <row r="502">
      <c r="D502" s="26"/>
      <c r="Q502" s="27"/>
    </row>
    <row r="503">
      <c r="D503" s="26"/>
      <c r="Q503" s="27"/>
    </row>
    <row r="504">
      <c r="D504" s="26"/>
      <c r="Q504" s="27"/>
    </row>
    <row r="505">
      <c r="D505" s="26"/>
      <c r="Q505" s="27"/>
    </row>
    <row r="506">
      <c r="D506" s="26"/>
      <c r="Q506" s="27"/>
    </row>
    <row r="507">
      <c r="D507" s="26"/>
      <c r="Q507" s="27"/>
    </row>
    <row r="508">
      <c r="D508" s="26"/>
      <c r="Q508" s="27"/>
    </row>
    <row r="509">
      <c r="D509" s="26"/>
      <c r="Q509" s="27"/>
    </row>
    <row r="510">
      <c r="D510" s="26"/>
      <c r="Q510" s="27"/>
    </row>
    <row r="511">
      <c r="D511" s="26"/>
      <c r="Q511" s="27"/>
    </row>
    <row r="512">
      <c r="D512" s="26"/>
      <c r="Q512" s="27"/>
    </row>
    <row r="513">
      <c r="D513" s="26"/>
      <c r="Q513" s="27"/>
    </row>
    <row r="514">
      <c r="D514" s="26"/>
      <c r="Q514" s="27"/>
    </row>
    <row r="515">
      <c r="D515" s="26"/>
      <c r="Q515" s="27"/>
    </row>
    <row r="516">
      <c r="D516" s="26"/>
      <c r="Q516" s="27"/>
    </row>
    <row r="517">
      <c r="D517" s="26"/>
      <c r="Q517" s="27"/>
    </row>
    <row r="518">
      <c r="D518" s="26"/>
      <c r="Q518" s="27"/>
    </row>
    <row r="519">
      <c r="D519" s="26"/>
      <c r="Q519" s="27"/>
    </row>
    <row r="520">
      <c r="D520" s="26"/>
      <c r="Q520" s="27"/>
    </row>
    <row r="521">
      <c r="D521" s="26"/>
      <c r="Q521" s="27"/>
    </row>
    <row r="522">
      <c r="D522" s="26"/>
      <c r="Q522" s="27"/>
    </row>
    <row r="523">
      <c r="D523" s="26"/>
      <c r="Q523" s="27"/>
    </row>
    <row r="524">
      <c r="D524" s="26"/>
      <c r="Q524" s="27"/>
    </row>
    <row r="525">
      <c r="D525" s="26"/>
      <c r="Q525" s="27"/>
    </row>
    <row r="526">
      <c r="D526" s="26"/>
      <c r="Q526" s="27"/>
    </row>
    <row r="527">
      <c r="D527" s="26"/>
      <c r="Q527" s="27"/>
    </row>
    <row r="528">
      <c r="D528" s="26"/>
      <c r="Q528" s="27"/>
    </row>
    <row r="529">
      <c r="D529" s="26"/>
      <c r="Q529" s="27"/>
    </row>
    <row r="530">
      <c r="D530" s="26"/>
      <c r="Q530" s="27"/>
    </row>
    <row r="531">
      <c r="D531" s="26"/>
      <c r="Q531" s="27"/>
    </row>
    <row r="532">
      <c r="D532" s="26"/>
      <c r="Q532" s="27"/>
    </row>
    <row r="533">
      <c r="D533" s="26"/>
      <c r="Q533" s="27"/>
    </row>
    <row r="534">
      <c r="D534" s="26"/>
      <c r="Q534" s="27"/>
    </row>
    <row r="535">
      <c r="D535" s="26"/>
      <c r="Q535" s="27"/>
    </row>
    <row r="536">
      <c r="D536" s="26"/>
      <c r="Q536" s="27"/>
    </row>
    <row r="537">
      <c r="D537" s="26"/>
      <c r="Q537" s="27"/>
    </row>
    <row r="538">
      <c r="D538" s="26"/>
      <c r="Q538" s="27"/>
    </row>
    <row r="539">
      <c r="D539" s="26"/>
      <c r="Q539" s="27"/>
    </row>
    <row r="540">
      <c r="D540" s="26"/>
      <c r="Q540" s="27"/>
    </row>
    <row r="541">
      <c r="D541" s="26"/>
      <c r="Q541" s="27"/>
    </row>
    <row r="542">
      <c r="D542" s="26"/>
      <c r="Q542" s="27"/>
    </row>
    <row r="543">
      <c r="D543" s="26"/>
      <c r="Q543" s="27"/>
    </row>
    <row r="544">
      <c r="D544" s="26"/>
      <c r="Q544" s="27"/>
    </row>
    <row r="545">
      <c r="D545" s="26"/>
      <c r="Q545" s="27"/>
    </row>
    <row r="546">
      <c r="D546" s="26"/>
      <c r="Q546" s="27"/>
    </row>
    <row r="547">
      <c r="D547" s="26"/>
      <c r="Q547" s="27"/>
    </row>
    <row r="548">
      <c r="D548" s="26"/>
      <c r="Q548" s="27"/>
    </row>
    <row r="549">
      <c r="D549" s="26"/>
      <c r="Q549" s="27"/>
    </row>
    <row r="550">
      <c r="D550" s="26"/>
      <c r="Q550" s="27"/>
    </row>
    <row r="551">
      <c r="D551" s="26"/>
      <c r="Q551" s="27"/>
    </row>
    <row r="552">
      <c r="D552" s="26"/>
      <c r="Q552" s="27"/>
    </row>
    <row r="553">
      <c r="D553" s="26"/>
      <c r="Q553" s="27"/>
    </row>
    <row r="554">
      <c r="D554" s="26"/>
      <c r="Q554" s="27"/>
    </row>
    <row r="555">
      <c r="D555" s="26"/>
      <c r="Q555" s="27"/>
    </row>
    <row r="556">
      <c r="D556" s="26"/>
      <c r="Q556" s="27"/>
    </row>
    <row r="557">
      <c r="D557" s="26"/>
      <c r="Q557" s="27"/>
    </row>
    <row r="558">
      <c r="D558" s="26"/>
      <c r="Q558" s="27"/>
    </row>
    <row r="559">
      <c r="D559" s="26"/>
      <c r="Q559" s="27"/>
    </row>
    <row r="560">
      <c r="D560" s="26"/>
      <c r="Q560" s="27"/>
    </row>
    <row r="561">
      <c r="D561" s="26"/>
      <c r="Q561" s="27"/>
    </row>
    <row r="562">
      <c r="D562" s="26"/>
      <c r="Q562" s="27"/>
    </row>
    <row r="563">
      <c r="D563" s="26"/>
      <c r="Q563" s="27"/>
    </row>
    <row r="564">
      <c r="D564" s="26"/>
      <c r="Q564" s="27"/>
    </row>
    <row r="565">
      <c r="D565" s="26"/>
      <c r="Q565" s="27"/>
    </row>
    <row r="566">
      <c r="D566" s="26"/>
      <c r="Q566" s="27"/>
    </row>
    <row r="567">
      <c r="D567" s="26"/>
      <c r="Q567" s="27"/>
    </row>
    <row r="568">
      <c r="D568" s="26"/>
      <c r="Q568" s="27"/>
    </row>
    <row r="569">
      <c r="D569" s="26"/>
      <c r="Q569" s="27"/>
    </row>
    <row r="570">
      <c r="D570" s="26"/>
      <c r="Q570" s="27"/>
    </row>
    <row r="571">
      <c r="D571" s="26"/>
      <c r="Q571" s="27"/>
    </row>
    <row r="572">
      <c r="D572" s="26"/>
      <c r="Q572" s="27"/>
    </row>
    <row r="573">
      <c r="D573" s="26"/>
      <c r="Q573" s="27"/>
    </row>
    <row r="574">
      <c r="D574" s="26"/>
      <c r="Q574" s="27"/>
    </row>
    <row r="575">
      <c r="D575" s="26"/>
      <c r="Q575" s="27"/>
    </row>
    <row r="576">
      <c r="D576" s="26"/>
      <c r="Q576" s="27"/>
    </row>
    <row r="577">
      <c r="D577" s="26"/>
      <c r="Q577" s="27"/>
    </row>
    <row r="578">
      <c r="D578" s="26"/>
      <c r="Q578" s="27"/>
    </row>
    <row r="579">
      <c r="D579" s="26"/>
      <c r="Q579" s="27"/>
    </row>
    <row r="580">
      <c r="D580" s="26"/>
      <c r="Q580" s="27"/>
    </row>
    <row r="581">
      <c r="D581" s="26"/>
      <c r="Q581" s="27"/>
    </row>
    <row r="582">
      <c r="D582" s="26"/>
      <c r="Q582" s="27"/>
    </row>
    <row r="583">
      <c r="D583" s="26"/>
      <c r="Q583" s="27"/>
    </row>
    <row r="584">
      <c r="D584" s="26"/>
      <c r="Q584" s="27"/>
    </row>
    <row r="585">
      <c r="D585" s="26"/>
      <c r="Q585" s="27"/>
    </row>
    <row r="586">
      <c r="D586" s="26"/>
      <c r="Q586" s="27"/>
    </row>
    <row r="587">
      <c r="D587" s="26"/>
      <c r="Q587" s="27"/>
    </row>
    <row r="588">
      <c r="D588" s="26"/>
      <c r="Q588" s="27"/>
    </row>
    <row r="589">
      <c r="D589" s="26"/>
      <c r="Q589" s="27"/>
    </row>
    <row r="590">
      <c r="D590" s="26"/>
      <c r="Q590" s="27"/>
    </row>
    <row r="591">
      <c r="D591" s="26"/>
      <c r="Q591" s="27"/>
    </row>
    <row r="592">
      <c r="D592" s="26"/>
      <c r="Q592" s="27"/>
    </row>
    <row r="593">
      <c r="D593" s="26"/>
      <c r="Q593" s="27"/>
    </row>
    <row r="594">
      <c r="D594" s="26"/>
      <c r="Q594" s="27"/>
    </row>
    <row r="595">
      <c r="D595" s="26"/>
      <c r="Q595" s="27"/>
    </row>
    <row r="596">
      <c r="D596" s="26"/>
      <c r="Q596" s="27"/>
    </row>
    <row r="597">
      <c r="D597" s="26"/>
      <c r="Q597" s="27"/>
    </row>
    <row r="598">
      <c r="D598" s="26"/>
      <c r="Q598" s="27"/>
    </row>
    <row r="599">
      <c r="D599" s="26"/>
      <c r="Q599" s="27"/>
    </row>
    <row r="600">
      <c r="D600" s="26"/>
      <c r="Q600" s="27"/>
    </row>
    <row r="601">
      <c r="D601" s="26"/>
      <c r="Q601" s="27"/>
    </row>
    <row r="602">
      <c r="D602" s="26"/>
      <c r="Q602" s="27"/>
    </row>
    <row r="603">
      <c r="D603" s="26"/>
      <c r="Q603" s="27"/>
    </row>
    <row r="604">
      <c r="D604" s="26"/>
      <c r="Q604" s="27"/>
    </row>
    <row r="605">
      <c r="D605" s="26"/>
      <c r="Q605" s="27"/>
    </row>
    <row r="606">
      <c r="D606" s="26"/>
      <c r="Q606" s="27"/>
    </row>
    <row r="607">
      <c r="D607" s="26"/>
      <c r="Q607" s="27"/>
    </row>
    <row r="608">
      <c r="D608" s="26"/>
      <c r="Q608" s="27"/>
    </row>
    <row r="609">
      <c r="D609" s="26"/>
      <c r="Q609" s="27"/>
    </row>
    <row r="610">
      <c r="D610" s="26"/>
      <c r="Q610" s="27"/>
    </row>
    <row r="611">
      <c r="D611" s="26"/>
      <c r="Q611" s="27"/>
    </row>
    <row r="612">
      <c r="D612" s="26"/>
      <c r="Q612" s="27"/>
    </row>
    <row r="613">
      <c r="D613" s="26"/>
      <c r="Q613" s="27"/>
    </row>
    <row r="614">
      <c r="D614" s="26"/>
      <c r="Q614" s="27"/>
    </row>
    <row r="615">
      <c r="D615" s="26"/>
      <c r="Q615" s="27"/>
    </row>
    <row r="616">
      <c r="D616" s="26"/>
      <c r="Q616" s="27"/>
    </row>
    <row r="617">
      <c r="D617" s="26"/>
      <c r="Q617" s="27"/>
    </row>
    <row r="618">
      <c r="D618" s="26"/>
      <c r="Q618" s="27"/>
    </row>
    <row r="619">
      <c r="D619" s="26"/>
      <c r="Q619" s="27"/>
    </row>
    <row r="620">
      <c r="D620" s="26"/>
      <c r="Q620" s="27"/>
    </row>
    <row r="621">
      <c r="D621" s="26"/>
      <c r="Q621" s="27"/>
    </row>
    <row r="622">
      <c r="D622" s="26"/>
      <c r="Q622" s="27"/>
    </row>
    <row r="623">
      <c r="D623" s="26"/>
      <c r="Q623" s="27"/>
    </row>
    <row r="624">
      <c r="D624" s="26"/>
      <c r="Q624" s="27"/>
    </row>
    <row r="625">
      <c r="D625" s="26"/>
      <c r="Q625" s="27"/>
    </row>
    <row r="626">
      <c r="D626" s="26"/>
      <c r="Q626" s="27"/>
    </row>
    <row r="627">
      <c r="D627" s="26"/>
      <c r="Q627" s="27"/>
    </row>
    <row r="628">
      <c r="D628" s="26"/>
      <c r="Q628" s="27"/>
    </row>
    <row r="629">
      <c r="D629" s="26"/>
      <c r="Q629" s="27"/>
    </row>
    <row r="630">
      <c r="D630" s="26"/>
      <c r="Q630" s="27"/>
    </row>
    <row r="631">
      <c r="D631" s="26"/>
      <c r="Q631" s="27"/>
    </row>
    <row r="632">
      <c r="D632" s="26"/>
      <c r="Q632" s="27"/>
    </row>
    <row r="633">
      <c r="D633" s="26"/>
      <c r="Q633" s="27"/>
    </row>
    <row r="634">
      <c r="D634" s="26"/>
      <c r="Q634" s="27"/>
    </row>
    <row r="635">
      <c r="D635" s="26"/>
      <c r="Q635" s="27"/>
    </row>
    <row r="636">
      <c r="D636" s="26"/>
      <c r="Q636" s="27"/>
    </row>
    <row r="637">
      <c r="D637" s="26"/>
      <c r="Q637" s="27"/>
    </row>
    <row r="638">
      <c r="D638" s="26"/>
      <c r="Q638" s="27"/>
    </row>
    <row r="639">
      <c r="D639" s="26"/>
      <c r="Q639" s="27"/>
    </row>
    <row r="640">
      <c r="D640" s="26"/>
      <c r="Q640" s="27"/>
    </row>
    <row r="641">
      <c r="D641" s="26"/>
      <c r="Q641" s="27"/>
    </row>
    <row r="642">
      <c r="D642" s="26"/>
      <c r="Q642" s="27"/>
    </row>
    <row r="643">
      <c r="D643" s="26"/>
      <c r="Q643" s="27"/>
    </row>
    <row r="644">
      <c r="D644" s="26"/>
      <c r="Q644" s="27"/>
    </row>
    <row r="645">
      <c r="D645" s="26"/>
      <c r="Q645" s="27"/>
    </row>
    <row r="646">
      <c r="D646" s="26"/>
      <c r="Q646" s="27"/>
    </row>
    <row r="647">
      <c r="D647" s="26"/>
      <c r="Q647" s="27"/>
    </row>
    <row r="648">
      <c r="D648" s="26"/>
      <c r="Q648" s="27"/>
    </row>
    <row r="649">
      <c r="D649" s="26"/>
      <c r="Q649" s="27"/>
    </row>
    <row r="650">
      <c r="D650" s="26"/>
      <c r="Q650" s="27"/>
    </row>
    <row r="651">
      <c r="D651" s="26"/>
      <c r="Q651" s="27"/>
    </row>
    <row r="652">
      <c r="D652" s="26"/>
      <c r="Q652" s="27"/>
    </row>
    <row r="653">
      <c r="D653" s="26"/>
      <c r="Q653" s="27"/>
    </row>
    <row r="654">
      <c r="D654" s="26"/>
      <c r="Q654" s="27"/>
    </row>
    <row r="655">
      <c r="D655" s="26"/>
      <c r="Q655" s="27"/>
    </row>
    <row r="656">
      <c r="D656" s="26"/>
      <c r="Q656" s="27"/>
    </row>
    <row r="657">
      <c r="D657" s="26"/>
      <c r="Q657" s="27"/>
    </row>
    <row r="658">
      <c r="D658" s="26"/>
      <c r="Q658" s="27"/>
    </row>
    <row r="659">
      <c r="D659" s="26"/>
      <c r="Q659" s="27"/>
    </row>
    <row r="660">
      <c r="D660" s="26"/>
      <c r="Q660" s="27"/>
    </row>
    <row r="661">
      <c r="D661" s="26"/>
      <c r="Q661" s="27"/>
    </row>
    <row r="662">
      <c r="D662" s="26"/>
      <c r="Q662" s="27"/>
    </row>
    <row r="663">
      <c r="D663" s="26"/>
      <c r="Q663" s="27"/>
    </row>
    <row r="664">
      <c r="D664" s="26"/>
      <c r="Q664" s="27"/>
    </row>
    <row r="665">
      <c r="D665" s="26"/>
      <c r="Q665" s="27"/>
    </row>
    <row r="666">
      <c r="D666" s="26"/>
      <c r="Q666" s="27"/>
    </row>
    <row r="667">
      <c r="D667" s="26"/>
      <c r="Q667" s="27"/>
    </row>
    <row r="668">
      <c r="D668" s="26"/>
      <c r="Q668" s="27"/>
    </row>
    <row r="669">
      <c r="D669" s="26"/>
      <c r="Q669" s="27"/>
    </row>
    <row r="670">
      <c r="D670" s="26"/>
      <c r="Q670" s="27"/>
    </row>
    <row r="671">
      <c r="D671" s="26"/>
      <c r="Q671" s="27"/>
    </row>
    <row r="672">
      <c r="D672" s="26"/>
      <c r="Q672" s="27"/>
    </row>
    <row r="673">
      <c r="D673" s="26"/>
      <c r="Q673" s="27"/>
    </row>
    <row r="674">
      <c r="D674" s="26"/>
      <c r="Q674" s="27"/>
    </row>
    <row r="675">
      <c r="D675" s="26"/>
      <c r="Q675" s="27"/>
    </row>
    <row r="676">
      <c r="D676" s="26"/>
      <c r="Q676" s="27"/>
    </row>
    <row r="677">
      <c r="D677" s="26"/>
      <c r="Q677" s="27"/>
    </row>
    <row r="678">
      <c r="D678" s="26"/>
      <c r="Q678" s="27"/>
    </row>
    <row r="679">
      <c r="D679" s="26"/>
      <c r="Q679" s="27"/>
    </row>
    <row r="680">
      <c r="D680" s="26"/>
      <c r="Q680" s="27"/>
    </row>
    <row r="681">
      <c r="D681" s="26"/>
      <c r="Q681" s="27"/>
    </row>
    <row r="682">
      <c r="D682" s="26"/>
      <c r="Q682" s="27"/>
    </row>
    <row r="683">
      <c r="D683" s="26"/>
      <c r="Q683" s="27"/>
    </row>
    <row r="684">
      <c r="D684" s="26"/>
      <c r="Q684" s="27"/>
    </row>
    <row r="685">
      <c r="D685" s="26"/>
      <c r="Q685" s="27"/>
    </row>
    <row r="686">
      <c r="D686" s="26"/>
      <c r="Q686" s="27"/>
    </row>
    <row r="687">
      <c r="D687" s="26"/>
      <c r="Q687" s="27"/>
    </row>
    <row r="688">
      <c r="D688" s="26"/>
      <c r="Q688" s="27"/>
    </row>
    <row r="689">
      <c r="D689" s="26"/>
      <c r="Q689" s="27"/>
    </row>
    <row r="690">
      <c r="D690" s="26"/>
      <c r="Q690" s="27"/>
    </row>
    <row r="691">
      <c r="D691" s="26"/>
      <c r="Q691" s="27"/>
    </row>
    <row r="692">
      <c r="D692" s="26"/>
      <c r="Q692" s="27"/>
    </row>
    <row r="693">
      <c r="D693" s="26"/>
      <c r="Q693" s="27"/>
    </row>
    <row r="694">
      <c r="D694" s="26"/>
      <c r="Q694" s="27"/>
    </row>
    <row r="695">
      <c r="D695" s="26"/>
      <c r="Q695" s="27"/>
    </row>
    <row r="696">
      <c r="D696" s="26"/>
      <c r="Q696" s="27"/>
    </row>
    <row r="697">
      <c r="D697" s="26"/>
      <c r="Q697" s="27"/>
    </row>
    <row r="698">
      <c r="D698" s="26"/>
      <c r="Q698" s="27"/>
    </row>
    <row r="699">
      <c r="D699" s="26"/>
      <c r="Q699" s="27"/>
    </row>
    <row r="700">
      <c r="D700" s="26"/>
      <c r="Q700" s="27"/>
    </row>
    <row r="701">
      <c r="D701" s="26"/>
      <c r="Q701" s="27"/>
    </row>
    <row r="702">
      <c r="D702" s="26"/>
      <c r="Q702" s="27"/>
    </row>
    <row r="703">
      <c r="D703" s="26"/>
      <c r="Q703" s="27"/>
    </row>
    <row r="704">
      <c r="D704" s="26"/>
      <c r="Q704" s="27"/>
    </row>
    <row r="705">
      <c r="D705" s="26"/>
      <c r="Q705" s="27"/>
    </row>
    <row r="706">
      <c r="D706" s="26"/>
      <c r="Q706" s="27"/>
    </row>
    <row r="707">
      <c r="D707" s="26"/>
      <c r="Q707" s="27"/>
    </row>
    <row r="708">
      <c r="D708" s="26"/>
      <c r="Q708" s="27"/>
    </row>
    <row r="709">
      <c r="D709" s="26"/>
      <c r="Q709" s="27"/>
    </row>
    <row r="710">
      <c r="D710" s="26"/>
      <c r="Q710" s="27"/>
    </row>
    <row r="711">
      <c r="D711" s="26"/>
      <c r="Q711" s="27"/>
    </row>
    <row r="712">
      <c r="D712" s="26"/>
      <c r="Q712" s="27"/>
    </row>
    <row r="713">
      <c r="D713" s="26"/>
      <c r="Q713" s="27"/>
    </row>
    <row r="714">
      <c r="D714" s="26"/>
      <c r="Q714" s="27"/>
    </row>
    <row r="715">
      <c r="D715" s="26"/>
      <c r="Q715" s="27"/>
    </row>
    <row r="716">
      <c r="D716" s="26"/>
      <c r="Q716" s="27"/>
    </row>
    <row r="717">
      <c r="D717" s="26"/>
      <c r="Q717" s="27"/>
    </row>
    <row r="718">
      <c r="D718" s="26"/>
      <c r="Q718" s="27"/>
    </row>
    <row r="719">
      <c r="D719" s="26"/>
      <c r="Q719" s="27"/>
    </row>
    <row r="720">
      <c r="D720" s="26"/>
      <c r="Q720" s="27"/>
    </row>
    <row r="721">
      <c r="D721" s="26"/>
      <c r="Q721" s="27"/>
    </row>
    <row r="722">
      <c r="D722" s="26"/>
      <c r="Q722" s="27"/>
    </row>
    <row r="723">
      <c r="D723" s="26"/>
      <c r="Q723" s="27"/>
    </row>
    <row r="724">
      <c r="D724" s="26"/>
      <c r="Q724" s="27"/>
    </row>
    <row r="725">
      <c r="D725" s="26"/>
      <c r="Q725" s="27"/>
    </row>
    <row r="726">
      <c r="D726" s="26"/>
      <c r="Q726" s="27"/>
    </row>
    <row r="727">
      <c r="D727" s="26"/>
      <c r="Q727" s="27"/>
    </row>
    <row r="728">
      <c r="D728" s="26"/>
      <c r="Q728" s="27"/>
    </row>
    <row r="729">
      <c r="D729" s="26"/>
      <c r="Q729" s="27"/>
    </row>
    <row r="730">
      <c r="D730" s="26"/>
      <c r="Q730" s="27"/>
    </row>
    <row r="731">
      <c r="D731" s="26"/>
      <c r="Q731" s="27"/>
    </row>
    <row r="732">
      <c r="D732" s="26"/>
      <c r="Q732" s="27"/>
    </row>
    <row r="733">
      <c r="D733" s="26"/>
      <c r="Q733" s="27"/>
    </row>
    <row r="734">
      <c r="D734" s="26"/>
      <c r="Q734" s="27"/>
    </row>
    <row r="735">
      <c r="D735" s="26"/>
      <c r="Q735" s="27"/>
    </row>
    <row r="736">
      <c r="D736" s="26"/>
      <c r="Q736" s="27"/>
    </row>
    <row r="737">
      <c r="D737" s="26"/>
      <c r="Q737" s="27"/>
    </row>
    <row r="738">
      <c r="D738" s="26"/>
      <c r="Q738" s="27"/>
    </row>
    <row r="739">
      <c r="D739" s="26"/>
      <c r="Q739" s="27"/>
    </row>
    <row r="740">
      <c r="D740" s="26"/>
      <c r="Q740" s="27"/>
    </row>
    <row r="741">
      <c r="D741" s="26"/>
      <c r="Q741" s="27"/>
    </row>
    <row r="742">
      <c r="D742" s="26"/>
      <c r="Q742" s="27"/>
    </row>
    <row r="743">
      <c r="D743" s="26"/>
      <c r="Q743" s="27"/>
    </row>
    <row r="744">
      <c r="D744" s="26"/>
      <c r="Q744" s="27"/>
    </row>
    <row r="745">
      <c r="D745" s="26"/>
      <c r="Q745" s="27"/>
    </row>
    <row r="746">
      <c r="D746" s="26"/>
      <c r="Q746" s="27"/>
    </row>
    <row r="747">
      <c r="D747" s="26"/>
      <c r="Q747" s="27"/>
    </row>
    <row r="748">
      <c r="D748" s="26"/>
      <c r="Q748" s="27"/>
    </row>
    <row r="749">
      <c r="D749" s="26"/>
      <c r="Q749" s="27"/>
    </row>
    <row r="750">
      <c r="D750" s="26"/>
      <c r="Q750" s="27"/>
    </row>
    <row r="751">
      <c r="D751" s="26"/>
      <c r="Q751" s="27"/>
    </row>
    <row r="752">
      <c r="D752" s="26"/>
      <c r="Q752" s="27"/>
    </row>
    <row r="753">
      <c r="D753" s="26"/>
      <c r="Q753" s="27"/>
    </row>
    <row r="754">
      <c r="D754" s="26"/>
      <c r="Q754" s="27"/>
    </row>
    <row r="755">
      <c r="D755" s="26"/>
      <c r="Q755" s="27"/>
    </row>
    <row r="756">
      <c r="D756" s="26"/>
      <c r="Q756" s="27"/>
    </row>
    <row r="757">
      <c r="D757" s="26"/>
      <c r="Q757" s="27"/>
    </row>
    <row r="758">
      <c r="D758" s="26"/>
      <c r="Q758" s="27"/>
    </row>
    <row r="759">
      <c r="D759" s="26"/>
      <c r="Q759" s="27"/>
    </row>
    <row r="760">
      <c r="D760" s="26"/>
      <c r="Q760" s="27"/>
    </row>
    <row r="761">
      <c r="D761" s="26"/>
      <c r="Q761" s="27"/>
    </row>
    <row r="762">
      <c r="D762" s="26"/>
      <c r="Q762" s="27"/>
    </row>
    <row r="763">
      <c r="D763" s="26"/>
      <c r="Q763" s="27"/>
    </row>
    <row r="764">
      <c r="D764" s="26"/>
      <c r="Q764" s="27"/>
    </row>
    <row r="765">
      <c r="D765" s="26"/>
      <c r="Q765" s="27"/>
    </row>
    <row r="766">
      <c r="D766" s="26"/>
      <c r="Q766" s="27"/>
    </row>
    <row r="767">
      <c r="D767" s="26"/>
      <c r="Q767" s="27"/>
    </row>
    <row r="768">
      <c r="D768" s="26"/>
      <c r="Q768" s="27"/>
    </row>
    <row r="769">
      <c r="D769" s="26"/>
      <c r="Q769" s="27"/>
    </row>
    <row r="770">
      <c r="D770" s="26"/>
      <c r="Q770" s="27"/>
    </row>
    <row r="771">
      <c r="D771" s="26"/>
      <c r="Q771" s="27"/>
    </row>
    <row r="772">
      <c r="D772" s="26"/>
      <c r="Q772" s="27"/>
    </row>
    <row r="773">
      <c r="D773" s="26"/>
      <c r="Q773" s="27"/>
    </row>
    <row r="774">
      <c r="D774" s="26"/>
      <c r="Q774" s="27"/>
    </row>
    <row r="775">
      <c r="D775" s="26"/>
      <c r="Q775" s="27"/>
    </row>
    <row r="776">
      <c r="D776" s="26"/>
      <c r="Q776" s="27"/>
    </row>
    <row r="777">
      <c r="D777" s="26"/>
      <c r="Q777" s="27"/>
    </row>
    <row r="778">
      <c r="D778" s="26"/>
      <c r="Q778" s="27"/>
    </row>
    <row r="779">
      <c r="D779" s="26"/>
      <c r="Q779" s="27"/>
    </row>
    <row r="780">
      <c r="D780" s="26"/>
      <c r="Q780" s="27"/>
    </row>
    <row r="781">
      <c r="D781" s="26"/>
      <c r="Q781" s="27"/>
    </row>
    <row r="782">
      <c r="D782" s="26"/>
      <c r="Q782" s="27"/>
    </row>
    <row r="783">
      <c r="D783" s="26"/>
      <c r="Q783" s="27"/>
    </row>
    <row r="784">
      <c r="D784" s="26"/>
      <c r="Q784" s="27"/>
    </row>
    <row r="785">
      <c r="D785" s="26"/>
      <c r="Q785" s="27"/>
    </row>
    <row r="786">
      <c r="D786" s="26"/>
      <c r="Q786" s="27"/>
    </row>
    <row r="787">
      <c r="D787" s="26"/>
      <c r="Q787" s="27"/>
    </row>
    <row r="788">
      <c r="D788" s="26"/>
      <c r="Q788" s="27"/>
    </row>
    <row r="789">
      <c r="D789" s="26"/>
      <c r="Q789" s="27"/>
    </row>
    <row r="790">
      <c r="D790" s="26"/>
      <c r="Q790" s="27"/>
    </row>
    <row r="791">
      <c r="D791" s="26"/>
      <c r="Q791" s="27"/>
    </row>
    <row r="792">
      <c r="D792" s="26"/>
      <c r="Q792" s="27"/>
    </row>
    <row r="793">
      <c r="D793" s="26"/>
      <c r="Q793" s="27"/>
    </row>
    <row r="794">
      <c r="D794" s="26"/>
      <c r="Q794" s="27"/>
    </row>
    <row r="795">
      <c r="D795" s="26"/>
      <c r="Q795" s="27"/>
    </row>
    <row r="796">
      <c r="D796" s="26"/>
      <c r="Q796" s="27"/>
    </row>
    <row r="797">
      <c r="D797" s="26"/>
      <c r="Q797" s="27"/>
    </row>
    <row r="798">
      <c r="D798" s="26"/>
      <c r="Q798" s="27"/>
    </row>
    <row r="799">
      <c r="D799" s="26"/>
      <c r="Q799" s="27"/>
    </row>
    <row r="800">
      <c r="D800" s="26"/>
      <c r="Q800" s="27"/>
    </row>
    <row r="801">
      <c r="D801" s="26"/>
      <c r="Q801" s="27"/>
    </row>
    <row r="802">
      <c r="D802" s="26"/>
      <c r="Q802" s="27"/>
    </row>
    <row r="803">
      <c r="D803" s="26"/>
      <c r="Q803" s="27"/>
    </row>
    <row r="804">
      <c r="D804" s="26"/>
      <c r="Q804" s="27"/>
    </row>
    <row r="805">
      <c r="D805" s="26"/>
      <c r="Q805" s="27"/>
    </row>
    <row r="806">
      <c r="D806" s="26"/>
      <c r="Q806" s="27"/>
    </row>
    <row r="807">
      <c r="D807" s="26"/>
      <c r="Q807" s="27"/>
    </row>
    <row r="808">
      <c r="D808" s="26"/>
      <c r="Q808" s="27"/>
    </row>
    <row r="809">
      <c r="D809" s="26"/>
      <c r="Q809" s="27"/>
    </row>
    <row r="810">
      <c r="D810" s="26"/>
      <c r="Q810" s="27"/>
    </row>
    <row r="811">
      <c r="D811" s="26"/>
      <c r="Q811" s="27"/>
    </row>
    <row r="812">
      <c r="D812" s="26"/>
      <c r="Q812" s="27"/>
    </row>
    <row r="813">
      <c r="D813" s="26"/>
      <c r="Q813" s="27"/>
    </row>
    <row r="814">
      <c r="D814" s="26"/>
      <c r="Q814" s="27"/>
    </row>
    <row r="815">
      <c r="D815" s="26"/>
      <c r="Q815" s="27"/>
    </row>
    <row r="816">
      <c r="D816" s="26"/>
      <c r="Q816" s="27"/>
    </row>
    <row r="817">
      <c r="D817" s="26"/>
      <c r="Q817" s="27"/>
    </row>
    <row r="818">
      <c r="D818" s="26"/>
      <c r="Q818" s="27"/>
    </row>
    <row r="819">
      <c r="D819" s="26"/>
      <c r="Q819" s="27"/>
    </row>
    <row r="820">
      <c r="D820" s="26"/>
      <c r="Q820" s="27"/>
    </row>
    <row r="821">
      <c r="D821" s="26"/>
      <c r="Q821" s="27"/>
    </row>
    <row r="822">
      <c r="D822" s="26"/>
      <c r="Q822" s="27"/>
    </row>
    <row r="823">
      <c r="D823" s="26"/>
      <c r="Q823" s="27"/>
    </row>
    <row r="824">
      <c r="D824" s="26"/>
      <c r="Q824" s="27"/>
    </row>
    <row r="825">
      <c r="D825" s="26"/>
      <c r="Q825" s="27"/>
    </row>
    <row r="826">
      <c r="D826" s="26"/>
      <c r="Q826" s="27"/>
    </row>
    <row r="827">
      <c r="D827" s="26"/>
      <c r="Q827" s="27"/>
    </row>
    <row r="828">
      <c r="D828" s="26"/>
      <c r="Q828" s="27"/>
    </row>
    <row r="829">
      <c r="D829" s="26"/>
      <c r="Q829" s="27"/>
    </row>
    <row r="830">
      <c r="D830" s="26"/>
      <c r="Q830" s="27"/>
    </row>
    <row r="831">
      <c r="D831" s="26"/>
      <c r="Q831" s="27"/>
    </row>
    <row r="832">
      <c r="D832" s="26"/>
      <c r="Q832" s="27"/>
    </row>
    <row r="833">
      <c r="D833" s="26"/>
      <c r="Q833" s="27"/>
    </row>
    <row r="834">
      <c r="D834" s="26"/>
      <c r="Q834" s="27"/>
    </row>
    <row r="835">
      <c r="D835" s="26"/>
      <c r="Q835" s="27"/>
    </row>
    <row r="836">
      <c r="D836" s="26"/>
      <c r="Q836" s="27"/>
    </row>
    <row r="837">
      <c r="D837" s="26"/>
      <c r="Q837" s="27"/>
    </row>
    <row r="838">
      <c r="D838" s="26"/>
      <c r="Q838" s="27"/>
    </row>
    <row r="839">
      <c r="D839" s="26"/>
      <c r="Q839" s="27"/>
    </row>
    <row r="840">
      <c r="D840" s="26"/>
      <c r="Q840" s="27"/>
    </row>
    <row r="841">
      <c r="D841" s="26"/>
      <c r="Q841" s="27"/>
    </row>
    <row r="842">
      <c r="D842" s="26"/>
      <c r="Q842" s="27"/>
    </row>
    <row r="843">
      <c r="D843" s="26"/>
      <c r="Q843" s="27"/>
    </row>
    <row r="844">
      <c r="D844" s="26"/>
      <c r="Q844" s="27"/>
    </row>
    <row r="845">
      <c r="D845" s="26"/>
      <c r="Q845" s="27"/>
    </row>
    <row r="846">
      <c r="D846" s="26"/>
      <c r="Q846" s="27"/>
    </row>
    <row r="847">
      <c r="D847" s="26"/>
      <c r="Q847" s="27"/>
    </row>
    <row r="848">
      <c r="D848" s="26"/>
      <c r="Q848" s="27"/>
    </row>
    <row r="849">
      <c r="D849" s="26"/>
      <c r="Q849" s="27"/>
    </row>
    <row r="850">
      <c r="D850" s="26"/>
      <c r="Q850" s="27"/>
    </row>
    <row r="851">
      <c r="D851" s="26"/>
      <c r="Q851" s="27"/>
    </row>
    <row r="852">
      <c r="D852" s="26"/>
      <c r="Q852" s="27"/>
    </row>
    <row r="853">
      <c r="D853" s="26"/>
      <c r="Q853" s="27"/>
    </row>
    <row r="854">
      <c r="D854" s="26"/>
      <c r="Q854" s="27"/>
    </row>
    <row r="855">
      <c r="D855" s="26"/>
      <c r="Q855" s="27"/>
    </row>
    <row r="856">
      <c r="D856" s="26"/>
      <c r="Q856" s="27"/>
    </row>
    <row r="857">
      <c r="D857" s="26"/>
      <c r="Q857" s="27"/>
    </row>
    <row r="858">
      <c r="D858" s="26"/>
      <c r="Q858" s="27"/>
    </row>
    <row r="859">
      <c r="D859" s="26"/>
      <c r="Q859" s="27"/>
    </row>
    <row r="860">
      <c r="D860" s="26"/>
      <c r="Q860" s="27"/>
    </row>
    <row r="861">
      <c r="D861" s="26"/>
      <c r="Q861" s="27"/>
    </row>
    <row r="862">
      <c r="D862" s="26"/>
      <c r="Q862" s="27"/>
    </row>
    <row r="863">
      <c r="D863" s="26"/>
      <c r="Q863" s="27"/>
    </row>
    <row r="864">
      <c r="D864" s="26"/>
      <c r="Q864" s="27"/>
    </row>
    <row r="865">
      <c r="D865" s="26"/>
      <c r="Q865" s="27"/>
    </row>
    <row r="866">
      <c r="D866" s="26"/>
      <c r="Q866" s="27"/>
    </row>
    <row r="867">
      <c r="D867" s="26"/>
      <c r="Q867" s="27"/>
    </row>
    <row r="868">
      <c r="D868" s="26"/>
      <c r="Q868" s="27"/>
    </row>
    <row r="869">
      <c r="D869" s="26"/>
      <c r="Q869" s="27"/>
    </row>
    <row r="870">
      <c r="D870" s="26"/>
      <c r="Q870" s="27"/>
    </row>
    <row r="871">
      <c r="D871" s="26"/>
      <c r="Q871" s="27"/>
    </row>
    <row r="872">
      <c r="D872" s="26"/>
      <c r="Q872" s="27"/>
    </row>
    <row r="873">
      <c r="D873" s="26"/>
      <c r="Q873" s="27"/>
    </row>
    <row r="874">
      <c r="D874" s="26"/>
      <c r="Q874" s="27"/>
    </row>
    <row r="875">
      <c r="D875" s="26"/>
      <c r="Q875" s="27"/>
    </row>
    <row r="876">
      <c r="D876" s="26"/>
      <c r="Q876" s="27"/>
    </row>
    <row r="877">
      <c r="D877" s="26"/>
      <c r="Q877" s="27"/>
    </row>
    <row r="878">
      <c r="D878" s="26"/>
      <c r="Q878" s="27"/>
    </row>
    <row r="879">
      <c r="D879" s="26"/>
      <c r="Q879" s="27"/>
    </row>
    <row r="880">
      <c r="D880" s="26"/>
      <c r="Q880" s="27"/>
    </row>
    <row r="881">
      <c r="D881" s="26"/>
      <c r="Q881" s="27"/>
    </row>
    <row r="882">
      <c r="D882" s="26"/>
      <c r="Q882" s="27"/>
    </row>
    <row r="883">
      <c r="D883" s="26"/>
      <c r="Q883" s="27"/>
    </row>
    <row r="884">
      <c r="D884" s="26"/>
      <c r="Q884" s="27"/>
    </row>
    <row r="885">
      <c r="D885" s="26"/>
      <c r="Q885" s="27"/>
    </row>
    <row r="886">
      <c r="D886" s="26"/>
      <c r="Q886" s="27"/>
    </row>
    <row r="887">
      <c r="D887" s="26"/>
      <c r="Q887" s="27"/>
    </row>
    <row r="888">
      <c r="D888" s="26"/>
      <c r="Q888" s="27"/>
    </row>
    <row r="889">
      <c r="D889" s="26"/>
      <c r="Q889" s="27"/>
    </row>
    <row r="890">
      <c r="D890" s="26"/>
      <c r="Q890" s="27"/>
    </row>
    <row r="891">
      <c r="D891" s="26"/>
      <c r="Q891" s="27"/>
    </row>
    <row r="892">
      <c r="D892" s="26"/>
      <c r="Q892" s="27"/>
    </row>
    <row r="893">
      <c r="D893" s="26"/>
      <c r="Q893" s="27"/>
    </row>
    <row r="894">
      <c r="D894" s="26"/>
      <c r="Q894" s="27"/>
    </row>
    <row r="895">
      <c r="D895" s="26"/>
      <c r="Q895" s="27"/>
    </row>
    <row r="896">
      <c r="D896" s="26"/>
      <c r="Q896" s="27"/>
    </row>
    <row r="897">
      <c r="D897" s="26"/>
      <c r="Q897" s="27"/>
    </row>
    <row r="898">
      <c r="D898" s="26"/>
      <c r="Q898" s="27"/>
    </row>
    <row r="899">
      <c r="D899" s="26"/>
      <c r="Q899" s="27"/>
    </row>
    <row r="900">
      <c r="D900" s="26"/>
      <c r="Q900" s="27"/>
    </row>
    <row r="901">
      <c r="D901" s="26"/>
      <c r="Q901" s="27"/>
    </row>
    <row r="902">
      <c r="D902" s="26"/>
      <c r="Q902" s="27"/>
    </row>
    <row r="903">
      <c r="D903" s="26"/>
      <c r="Q903" s="27"/>
    </row>
    <row r="904">
      <c r="D904" s="26"/>
      <c r="Q904" s="27"/>
    </row>
    <row r="905">
      <c r="D905" s="26"/>
      <c r="Q905" s="27"/>
    </row>
    <row r="906">
      <c r="D906" s="26"/>
      <c r="Q906" s="27"/>
    </row>
    <row r="907">
      <c r="D907" s="26"/>
      <c r="Q907" s="27"/>
    </row>
    <row r="908">
      <c r="D908" s="26"/>
      <c r="Q908" s="27"/>
    </row>
    <row r="909">
      <c r="D909" s="26"/>
      <c r="Q909" s="27"/>
    </row>
    <row r="910">
      <c r="D910" s="26"/>
      <c r="Q910" s="27"/>
    </row>
    <row r="911">
      <c r="D911" s="26"/>
      <c r="Q911" s="27"/>
    </row>
    <row r="912">
      <c r="D912" s="26"/>
      <c r="Q912" s="27"/>
    </row>
    <row r="913">
      <c r="D913" s="26"/>
      <c r="Q913" s="27"/>
    </row>
    <row r="914">
      <c r="D914" s="26"/>
      <c r="Q914" s="27"/>
    </row>
    <row r="915">
      <c r="D915" s="26"/>
      <c r="Q915" s="27"/>
    </row>
    <row r="916">
      <c r="D916" s="26"/>
      <c r="Q916" s="27"/>
    </row>
    <row r="917">
      <c r="D917" s="26"/>
      <c r="Q917" s="27"/>
    </row>
    <row r="918">
      <c r="D918" s="26"/>
      <c r="Q918" s="27"/>
    </row>
    <row r="919">
      <c r="D919" s="26"/>
      <c r="Q919" s="27"/>
    </row>
    <row r="920">
      <c r="D920" s="26"/>
      <c r="Q920" s="27"/>
    </row>
    <row r="921">
      <c r="D921" s="26"/>
      <c r="Q921" s="27"/>
    </row>
    <row r="922">
      <c r="D922" s="26"/>
      <c r="Q922" s="27"/>
    </row>
    <row r="923">
      <c r="D923" s="26"/>
      <c r="Q923" s="27"/>
    </row>
    <row r="924">
      <c r="D924" s="26"/>
      <c r="Q924" s="27"/>
    </row>
    <row r="925">
      <c r="D925" s="26"/>
      <c r="Q925" s="27"/>
    </row>
    <row r="926">
      <c r="D926" s="26"/>
      <c r="Q926" s="27"/>
    </row>
    <row r="927">
      <c r="D927" s="26"/>
      <c r="Q927" s="27"/>
    </row>
    <row r="928">
      <c r="D928" s="26"/>
      <c r="Q928" s="27"/>
    </row>
    <row r="929">
      <c r="D929" s="26"/>
      <c r="Q929" s="27"/>
    </row>
    <row r="930">
      <c r="D930" s="26"/>
      <c r="Q930" s="27"/>
    </row>
    <row r="931">
      <c r="D931" s="26"/>
      <c r="Q931" s="27"/>
    </row>
    <row r="932">
      <c r="D932" s="26"/>
      <c r="Q932" s="27"/>
    </row>
    <row r="933">
      <c r="D933" s="26"/>
      <c r="Q933" s="27"/>
    </row>
    <row r="934">
      <c r="D934" s="26"/>
      <c r="Q934" s="27"/>
    </row>
    <row r="935">
      <c r="D935" s="26"/>
      <c r="Q935" s="27"/>
    </row>
    <row r="936">
      <c r="D936" s="26"/>
      <c r="Q936" s="27"/>
    </row>
    <row r="937">
      <c r="D937" s="26"/>
      <c r="Q937" s="27"/>
    </row>
    <row r="938">
      <c r="D938" s="26"/>
      <c r="Q938" s="27"/>
    </row>
    <row r="939">
      <c r="D939" s="26"/>
      <c r="Q939" s="27"/>
    </row>
    <row r="940">
      <c r="D940" s="26"/>
      <c r="Q940" s="27"/>
    </row>
    <row r="941">
      <c r="D941" s="26"/>
      <c r="Q941" s="27"/>
    </row>
    <row r="942">
      <c r="D942" s="26"/>
      <c r="Q942" s="27"/>
    </row>
    <row r="943">
      <c r="D943" s="26"/>
      <c r="Q943" s="27"/>
    </row>
    <row r="944">
      <c r="D944" s="26"/>
      <c r="Q944" s="27"/>
    </row>
    <row r="945">
      <c r="D945" s="26"/>
      <c r="Q945" s="27"/>
    </row>
    <row r="946">
      <c r="D946" s="26"/>
      <c r="Q946" s="27"/>
    </row>
    <row r="947">
      <c r="D947" s="26"/>
      <c r="Q947" s="27"/>
    </row>
    <row r="948">
      <c r="D948" s="26"/>
      <c r="Q948" s="27"/>
    </row>
    <row r="949">
      <c r="D949" s="26"/>
      <c r="Q949" s="27"/>
    </row>
    <row r="950">
      <c r="D950" s="26"/>
      <c r="Q950" s="27"/>
    </row>
    <row r="951">
      <c r="D951" s="26"/>
      <c r="Q951" s="27"/>
    </row>
    <row r="952">
      <c r="D952" s="26"/>
      <c r="Q952" s="27"/>
    </row>
    <row r="953">
      <c r="D953" s="26"/>
      <c r="Q953" s="27"/>
    </row>
    <row r="954">
      <c r="D954" s="26"/>
      <c r="Q954" s="27"/>
    </row>
    <row r="955">
      <c r="D955" s="26"/>
      <c r="Q955" s="27"/>
    </row>
    <row r="956">
      <c r="D956" s="26"/>
      <c r="Q956" s="27"/>
    </row>
    <row r="957">
      <c r="D957" s="26"/>
      <c r="Q957" s="27"/>
    </row>
    <row r="958">
      <c r="D958" s="26"/>
      <c r="Q958" s="27"/>
    </row>
    <row r="959">
      <c r="D959" s="26"/>
      <c r="Q959" s="27"/>
    </row>
    <row r="960">
      <c r="D960" s="26"/>
      <c r="Q960" s="27"/>
    </row>
    <row r="961">
      <c r="D961" s="26"/>
      <c r="Q961" s="27"/>
    </row>
    <row r="962">
      <c r="D962" s="26"/>
      <c r="Q962" s="27"/>
    </row>
    <row r="963">
      <c r="D963" s="26"/>
      <c r="Q963" s="27"/>
    </row>
    <row r="964">
      <c r="D964" s="26"/>
      <c r="Q964" s="27"/>
    </row>
    <row r="965">
      <c r="D965" s="26"/>
      <c r="Q965" s="27"/>
    </row>
    <row r="966">
      <c r="D966" s="26"/>
      <c r="Q966" s="27"/>
    </row>
    <row r="967">
      <c r="D967" s="26"/>
      <c r="Q967" s="27"/>
    </row>
    <row r="968">
      <c r="D968" s="26"/>
      <c r="Q968" s="27"/>
    </row>
    <row r="969">
      <c r="D969" s="26"/>
      <c r="Q969" s="27"/>
    </row>
    <row r="970">
      <c r="D970" s="26"/>
      <c r="Q970" s="27"/>
    </row>
    <row r="971">
      <c r="D971" s="26"/>
      <c r="Q971" s="27"/>
    </row>
    <row r="972">
      <c r="D972" s="26"/>
      <c r="Q972" s="27"/>
    </row>
    <row r="973">
      <c r="D973" s="26"/>
      <c r="Q973" s="27"/>
    </row>
    <row r="974">
      <c r="D974" s="26"/>
      <c r="Q974" s="27"/>
    </row>
    <row r="975">
      <c r="D975" s="26"/>
      <c r="Q975" s="27"/>
    </row>
    <row r="976">
      <c r="D976" s="26"/>
      <c r="Q976" s="27"/>
    </row>
    <row r="977">
      <c r="D977" s="26"/>
      <c r="Q977" s="27"/>
    </row>
    <row r="978">
      <c r="D978" s="26"/>
      <c r="Q978" s="27"/>
    </row>
    <row r="979">
      <c r="D979" s="26"/>
      <c r="Q979" s="27"/>
    </row>
    <row r="980">
      <c r="D980" s="26"/>
      <c r="Q980" s="27"/>
    </row>
    <row r="981">
      <c r="D981" s="26"/>
      <c r="Q981" s="27"/>
    </row>
    <row r="982">
      <c r="D982" s="26"/>
      <c r="Q982" s="27"/>
    </row>
    <row r="983">
      <c r="D983" s="26"/>
      <c r="Q983" s="27"/>
    </row>
    <row r="984">
      <c r="D984" s="26"/>
      <c r="Q984" s="27"/>
    </row>
    <row r="985">
      <c r="D985" s="26"/>
      <c r="Q985" s="27"/>
    </row>
    <row r="986">
      <c r="D986" s="26"/>
      <c r="Q986" s="27"/>
    </row>
    <row r="987">
      <c r="D987" s="26"/>
      <c r="Q987" s="27"/>
    </row>
    <row r="988">
      <c r="D988" s="26"/>
      <c r="Q988" s="27"/>
    </row>
    <row r="989">
      <c r="D989" s="26"/>
      <c r="Q989" s="27"/>
    </row>
    <row r="990">
      <c r="D990" s="26"/>
      <c r="Q990" s="27"/>
    </row>
    <row r="991">
      <c r="D991" s="26"/>
      <c r="Q991" s="27"/>
    </row>
    <row r="992">
      <c r="D992" s="26"/>
      <c r="Q992" s="27"/>
    </row>
    <row r="993">
      <c r="D993" s="26"/>
      <c r="Q993" s="27"/>
    </row>
    <row r="994">
      <c r="D994" s="26"/>
      <c r="Q994" s="27"/>
    </row>
    <row r="995">
      <c r="D995" s="26"/>
      <c r="Q995" s="27"/>
    </row>
    <row r="996">
      <c r="D996" s="26"/>
      <c r="Q996" s="27"/>
    </row>
    <row r="997">
      <c r="D997" s="26"/>
      <c r="Q997" s="27"/>
    </row>
  </sheetData>
  <drawing r:id="rId2"/>
  <legacyDrawing r:id="rId3"/>
</worksheet>
</file>