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gabrielchoukroun/Documents/waterfall_python/"/>
    </mc:Choice>
  </mc:AlternateContent>
  <xr:revisionPtr revIDLastSave="0" documentId="13_ncr:1_{082559E5-4258-E340-8DC6-38E43417D639}" xr6:coauthVersionLast="47" xr6:coauthVersionMax="47" xr10:uidLastSave="{00000000-0000-0000-0000-000000000000}"/>
  <bookViews>
    <workbookView xWindow="0" yWindow="760" windowWidth="30240" windowHeight="17540" xr2:uid="{00000000-000D-0000-FFFF-FFFF00000000}"/>
  </bookViews>
  <sheets>
    <sheet name="APY" sheetId="1" r:id="rId1"/>
    <sheet name="Liqudity tiers" sheetId="2" r:id="rId2"/>
    <sheet name="tier mapping" sheetId="3" r:id="rId3"/>
    <sheet name="COFA" sheetId="4" r:id="rId4"/>
    <sheet name="COFA - live" sheetId="5" r:id="rId5"/>
    <sheet name="Inst Lending numbers" sheetId="6" r:id="rId6"/>
    <sheet name="Weekly Rates" sheetId="7" state="hidden" r:id="rId7"/>
    <sheet name="Import from defimon" sheetId="8" r:id="rId8"/>
    <sheet name="Import_from_CeFi_dashboard" sheetId="9" r:id="rId9"/>
    <sheet name="EAM" sheetId="10" r:id="rId10"/>
    <sheet name="New Tiers" sheetId="11" r:id="rId11"/>
    <sheet name="Blank APYs" sheetId="12" r:id="rId12"/>
  </sheets>
  <definedNames>
    <definedName name="Z_35413393_C195_47D6_A72E_49FFB6143B63_.wvu.FilterData" localSheetId="0" hidden="1">APY!$A$3:$DB$99</definedName>
    <definedName name="Z_35413393_C195_47D6_A72E_49FFB6143B63_.wvu.FilterData" localSheetId="11" hidden="1">'Blank APYs'!$H$1:$I$1000</definedName>
    <definedName name="Z_35413393_C195_47D6_A72E_49FFB6143B63_.wvu.FilterData" localSheetId="1" hidden="1">'Liqudity tiers'!$A$3:$CY$85</definedName>
  </definedNames>
  <calcPr calcId="191029"/>
  <customWorkbookViews>
    <customWorkbookView name="Filter 1" guid="{35413393-C195-47D6-A72E-49FFB6143B6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0" i="12" l="1"/>
  <c r="I79" i="12"/>
  <c r="I78" i="12"/>
  <c r="I77" i="12"/>
  <c r="I76" i="12"/>
  <c r="I75" i="12"/>
  <c r="I74" i="12"/>
  <c r="I73" i="12"/>
  <c r="I72" i="12"/>
  <c r="I71" i="12"/>
  <c r="I70" i="12"/>
  <c r="I69" i="12"/>
  <c r="I68" i="12"/>
  <c r="I67" i="12"/>
  <c r="I66" i="12"/>
  <c r="I65" i="12"/>
  <c r="I64" i="12"/>
  <c r="I63" i="12"/>
  <c r="I62" i="12"/>
  <c r="I61" i="12"/>
  <c r="I60" i="12"/>
  <c r="I59" i="12"/>
  <c r="I58" i="12"/>
  <c r="I57" i="12"/>
  <c r="I56" i="12"/>
  <c r="I55" i="12"/>
  <c r="I54" i="12"/>
  <c r="I53" i="12"/>
  <c r="I52" i="12"/>
  <c r="I51" i="12"/>
  <c r="I50" i="12"/>
  <c r="I49" i="12"/>
  <c r="I48" i="12"/>
  <c r="I47" i="12"/>
  <c r="I46" i="12"/>
  <c r="I45" i="12"/>
  <c r="I44" i="12"/>
  <c r="I43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2" i="12"/>
  <c r="I1" i="12"/>
  <c r="G1" i="11"/>
  <c r="F1" i="11"/>
  <c r="E1" i="11"/>
  <c r="D1" i="11"/>
  <c r="C1" i="11"/>
  <c r="B1" i="11"/>
  <c r="B6" i="10"/>
  <c r="A6" i="10"/>
  <c r="B5" i="10"/>
  <c r="A5" i="10"/>
  <c r="B4" i="10"/>
  <c r="A4" i="10"/>
  <c r="B3" i="10"/>
  <c r="A3" i="10"/>
  <c r="B2" i="10"/>
  <c r="A2" i="10"/>
  <c r="B1" i="10"/>
  <c r="A1" i="10"/>
  <c r="B164" i="9"/>
  <c r="B163" i="9"/>
  <c r="B162" i="9"/>
  <c r="B161" i="9"/>
  <c r="B160" i="9"/>
  <c r="B159" i="9"/>
  <c r="B158" i="9"/>
  <c r="B157" i="9"/>
  <c r="A157" i="9"/>
  <c r="B156" i="9"/>
  <c r="A156" i="9"/>
  <c r="C151" i="9"/>
  <c r="C148" i="9"/>
  <c r="A148" i="9"/>
  <c r="C145" i="9"/>
  <c r="B145" i="9"/>
  <c r="A145" i="9"/>
  <c r="C143" i="9"/>
  <c r="A143" i="9"/>
  <c r="A141" i="9"/>
  <c r="A140" i="9"/>
  <c r="C138" i="9"/>
  <c r="A138" i="9"/>
  <c r="A136" i="9"/>
  <c r="A135" i="9"/>
  <c r="C133" i="9"/>
  <c r="A133" i="9"/>
  <c r="B131" i="9"/>
  <c r="B130" i="9"/>
  <c r="B129" i="9"/>
  <c r="B128" i="9"/>
  <c r="A128" i="9"/>
  <c r="C126" i="9"/>
  <c r="A126" i="9"/>
  <c r="B125" i="9"/>
  <c r="B124" i="9"/>
  <c r="A124" i="9"/>
  <c r="B123" i="9"/>
  <c r="A123" i="9"/>
  <c r="C121" i="9"/>
  <c r="A121" i="9"/>
  <c r="B119" i="9"/>
  <c r="B118" i="9"/>
  <c r="A118" i="9"/>
  <c r="B117" i="9"/>
  <c r="B116" i="9"/>
  <c r="B115" i="9"/>
  <c r="A115" i="9"/>
  <c r="B114" i="9"/>
  <c r="B113" i="9"/>
  <c r="B112" i="9"/>
  <c r="A112" i="9"/>
  <c r="C110" i="9"/>
  <c r="A110" i="9"/>
  <c r="B108" i="9"/>
  <c r="B107" i="9"/>
  <c r="A107" i="9"/>
  <c r="B106" i="9"/>
  <c r="A106" i="9"/>
  <c r="B104" i="9"/>
  <c r="C103" i="9"/>
  <c r="B103" i="9"/>
  <c r="B102" i="9"/>
  <c r="B101" i="9"/>
  <c r="C100" i="9"/>
  <c r="B100" i="9"/>
  <c r="B99" i="9"/>
  <c r="B98" i="9"/>
  <c r="C97" i="9"/>
  <c r="B97" i="9"/>
  <c r="B96" i="9"/>
  <c r="B95" i="9"/>
  <c r="A95" i="9"/>
  <c r="A93" i="9"/>
  <c r="A87" i="9"/>
  <c r="C85" i="9"/>
  <c r="A85" i="9"/>
  <c r="B80" i="9"/>
  <c r="B79" i="9"/>
  <c r="B78" i="9"/>
  <c r="A78" i="9"/>
  <c r="B77" i="9"/>
  <c r="B76" i="9"/>
  <c r="A76" i="9"/>
  <c r="A74" i="9"/>
  <c r="B72" i="9"/>
  <c r="B71" i="9"/>
  <c r="B70" i="9"/>
  <c r="B69" i="9"/>
  <c r="B68" i="9"/>
  <c r="B67" i="9"/>
  <c r="B66" i="9"/>
  <c r="A66" i="9"/>
  <c r="A64" i="9"/>
  <c r="B62" i="9"/>
  <c r="A62" i="9"/>
  <c r="C61" i="9"/>
  <c r="B61" i="9"/>
  <c r="A61" i="9"/>
  <c r="B59" i="9"/>
  <c r="A59" i="9"/>
  <c r="C58" i="9"/>
  <c r="B58" i="9"/>
  <c r="A58" i="9"/>
  <c r="B56" i="9"/>
  <c r="A56" i="9"/>
  <c r="C55" i="9"/>
  <c r="B55" i="9"/>
  <c r="A55" i="9"/>
  <c r="C53" i="9"/>
  <c r="A53" i="9"/>
  <c r="B52" i="9"/>
  <c r="B51" i="9"/>
  <c r="C50" i="9"/>
  <c r="B50" i="9"/>
  <c r="B48" i="9"/>
  <c r="A48" i="9"/>
  <c r="B47" i="9"/>
  <c r="A47" i="9"/>
  <c r="C45" i="9"/>
  <c r="B45" i="9"/>
  <c r="A45" i="9"/>
  <c r="B44" i="9"/>
  <c r="A44" i="9"/>
  <c r="B42" i="9"/>
  <c r="A42" i="9"/>
  <c r="B41" i="9"/>
  <c r="A41" i="9"/>
  <c r="C39" i="9"/>
  <c r="B39" i="9"/>
  <c r="A39" i="9"/>
  <c r="B38" i="9"/>
  <c r="A38" i="9"/>
  <c r="C36" i="9"/>
  <c r="B36" i="9"/>
  <c r="A36" i="9"/>
  <c r="B35" i="9"/>
  <c r="A35" i="9"/>
  <c r="C33" i="9"/>
  <c r="B33" i="9"/>
  <c r="A33" i="9"/>
  <c r="B32" i="9"/>
  <c r="A32" i="9"/>
  <c r="C30" i="9"/>
  <c r="B30" i="9"/>
  <c r="A30" i="9"/>
  <c r="B29" i="9"/>
  <c r="A29" i="9"/>
  <c r="C27" i="9"/>
  <c r="B27" i="9"/>
  <c r="A27" i="9"/>
  <c r="B26" i="9"/>
  <c r="A26" i="9"/>
  <c r="C24" i="9"/>
  <c r="B24" i="9"/>
  <c r="A24" i="9"/>
  <c r="B23" i="9"/>
  <c r="A23" i="9"/>
  <c r="C22" i="9"/>
  <c r="B22" i="9"/>
  <c r="A22" i="9"/>
  <c r="E6" i="9"/>
  <c r="D6" i="9"/>
  <c r="C6" i="9"/>
  <c r="B6" i="9"/>
  <c r="A6" i="9"/>
  <c r="E5" i="9"/>
  <c r="D5" i="9"/>
  <c r="C5" i="9"/>
  <c r="B5" i="9"/>
  <c r="A5" i="9"/>
  <c r="E4" i="9"/>
  <c r="D4" i="9"/>
  <c r="C4" i="9"/>
  <c r="B4" i="9"/>
  <c r="A4" i="9"/>
  <c r="E3" i="9"/>
  <c r="D3" i="9"/>
  <c r="C3" i="9"/>
  <c r="B3" i="9"/>
  <c r="A3" i="9"/>
  <c r="E2" i="9"/>
  <c r="D2" i="9"/>
  <c r="C2" i="9"/>
  <c r="B2" i="9"/>
  <c r="E1" i="9"/>
  <c r="D1" i="9"/>
  <c r="C1" i="9"/>
  <c r="B1" i="9"/>
  <c r="A1" i="9"/>
  <c r="K54" i="8"/>
  <c r="A54" i="8"/>
  <c r="L53" i="8"/>
  <c r="A53" i="8"/>
  <c r="L52" i="8"/>
  <c r="A52" i="8"/>
  <c r="K51" i="8"/>
  <c r="A51" i="8"/>
  <c r="K50" i="8"/>
  <c r="A50" i="8"/>
  <c r="L49" i="8"/>
  <c r="D49" i="8"/>
  <c r="A49" i="8"/>
  <c r="D48" i="8"/>
  <c r="A48" i="8"/>
  <c r="I47" i="8"/>
  <c r="C47" i="8"/>
  <c r="B47" i="8"/>
  <c r="A47" i="8"/>
  <c r="E46" i="8"/>
  <c r="D46" i="8"/>
  <c r="C46" i="8"/>
  <c r="B46" i="8"/>
  <c r="A46" i="8"/>
  <c r="E45" i="8"/>
  <c r="D45" i="8"/>
  <c r="C45" i="8"/>
  <c r="B45" i="8"/>
  <c r="A45" i="8"/>
  <c r="I44" i="8"/>
  <c r="E44" i="8"/>
  <c r="D44" i="8"/>
  <c r="C44" i="8"/>
  <c r="B44" i="8"/>
  <c r="A44" i="8"/>
  <c r="L43" i="8"/>
  <c r="E43" i="8"/>
  <c r="D43" i="8"/>
  <c r="C43" i="8"/>
  <c r="B43" i="8"/>
  <c r="A43" i="8"/>
  <c r="Q42" i="8"/>
  <c r="M42" i="8"/>
  <c r="L42" i="8"/>
  <c r="K42" i="8"/>
  <c r="H42" i="8"/>
  <c r="G42" i="8"/>
  <c r="F42" i="8"/>
  <c r="E42" i="8"/>
  <c r="D42" i="8"/>
  <c r="C42" i="8"/>
  <c r="B42" i="8"/>
  <c r="A42" i="8"/>
  <c r="M41" i="8"/>
  <c r="H41" i="8"/>
  <c r="G41" i="8"/>
  <c r="F41" i="8"/>
  <c r="E41" i="8"/>
  <c r="D41" i="8"/>
  <c r="C41" i="8"/>
  <c r="B41" i="8"/>
  <c r="A41" i="8"/>
  <c r="M40" i="8"/>
  <c r="L40" i="8"/>
  <c r="K40" i="8"/>
  <c r="H40" i="8"/>
  <c r="G40" i="8"/>
  <c r="F40" i="8"/>
  <c r="E40" i="8"/>
  <c r="D40" i="8"/>
  <c r="C40" i="8"/>
  <c r="B40" i="8"/>
  <c r="A40" i="8"/>
  <c r="K39" i="8"/>
  <c r="H39" i="8"/>
  <c r="G39" i="8"/>
  <c r="F39" i="8"/>
  <c r="E39" i="8"/>
  <c r="D39" i="8"/>
  <c r="C39" i="8"/>
  <c r="B39" i="8"/>
  <c r="A39" i="8"/>
  <c r="I38" i="8"/>
  <c r="H38" i="8"/>
  <c r="G38" i="8"/>
  <c r="F38" i="8"/>
  <c r="E38" i="8"/>
  <c r="D38" i="8"/>
  <c r="C38" i="8"/>
  <c r="B38" i="8"/>
  <c r="A38" i="8"/>
  <c r="K37" i="8"/>
  <c r="H37" i="8"/>
  <c r="G37" i="8"/>
  <c r="F37" i="8"/>
  <c r="E37" i="8"/>
  <c r="D37" i="8"/>
  <c r="C37" i="8"/>
  <c r="B37" i="8"/>
  <c r="A37" i="8"/>
  <c r="K36" i="8"/>
  <c r="J36" i="8"/>
  <c r="H36" i="8"/>
  <c r="G36" i="8"/>
  <c r="F36" i="8"/>
  <c r="E36" i="8"/>
  <c r="D36" i="8"/>
  <c r="C36" i="8"/>
  <c r="B36" i="8"/>
  <c r="A36" i="8"/>
  <c r="P35" i="8"/>
  <c r="J35" i="8"/>
  <c r="H35" i="8"/>
  <c r="G35" i="8"/>
  <c r="F35" i="8"/>
  <c r="E35" i="8"/>
  <c r="D35" i="8"/>
  <c r="C35" i="8"/>
  <c r="B35" i="8"/>
  <c r="A35" i="8"/>
  <c r="M34" i="8"/>
  <c r="J34" i="8"/>
  <c r="H34" i="8"/>
  <c r="G34" i="8"/>
  <c r="F34" i="8"/>
  <c r="E34" i="8"/>
  <c r="D34" i="8"/>
  <c r="C34" i="8"/>
  <c r="B34" i="8"/>
  <c r="A34" i="8"/>
  <c r="L33" i="8"/>
  <c r="J33" i="8"/>
  <c r="H33" i="8"/>
  <c r="G33" i="8"/>
  <c r="F33" i="8"/>
  <c r="E33" i="8"/>
  <c r="D33" i="8"/>
  <c r="C33" i="8"/>
  <c r="B33" i="8"/>
  <c r="A33" i="8"/>
  <c r="K32" i="8"/>
  <c r="I32" i="8"/>
  <c r="H32" i="8"/>
  <c r="G32" i="8"/>
  <c r="F32" i="8"/>
  <c r="E32" i="8"/>
  <c r="D32" i="8"/>
  <c r="C32" i="8"/>
  <c r="B32" i="8"/>
  <c r="A32" i="8"/>
  <c r="L31" i="8"/>
  <c r="H31" i="8"/>
  <c r="G31" i="8"/>
  <c r="F31" i="8"/>
  <c r="E31" i="8"/>
  <c r="D31" i="8"/>
  <c r="C31" i="8"/>
  <c r="B31" i="8"/>
  <c r="A31" i="8"/>
  <c r="K30" i="8"/>
  <c r="H30" i="8"/>
  <c r="G30" i="8"/>
  <c r="F30" i="8"/>
  <c r="E30" i="8"/>
  <c r="D30" i="8"/>
  <c r="C30" i="8"/>
  <c r="B30" i="8"/>
  <c r="A30" i="8"/>
  <c r="K29" i="8"/>
  <c r="H29" i="8"/>
  <c r="G29" i="8"/>
  <c r="F29" i="8"/>
  <c r="E29" i="8"/>
  <c r="D29" i="8"/>
  <c r="C29" i="8"/>
  <c r="B29" i="8"/>
  <c r="A29" i="8"/>
  <c r="K28" i="8"/>
  <c r="H28" i="8"/>
  <c r="G28" i="8"/>
  <c r="F28" i="8"/>
  <c r="E28" i="8"/>
  <c r="D28" i="8"/>
  <c r="C28" i="8"/>
  <c r="B28" i="8"/>
  <c r="A28" i="8"/>
  <c r="K27" i="8"/>
  <c r="H27" i="8"/>
  <c r="G27" i="8"/>
  <c r="F27" i="8"/>
  <c r="E27" i="8"/>
  <c r="D27" i="8"/>
  <c r="C27" i="8"/>
  <c r="B27" i="8"/>
  <c r="A27" i="8"/>
  <c r="L26" i="8"/>
  <c r="J26" i="8"/>
  <c r="H26" i="8"/>
  <c r="G26" i="8"/>
  <c r="F26" i="8"/>
  <c r="E26" i="8"/>
  <c r="D26" i="8"/>
  <c r="C26" i="8"/>
  <c r="B26" i="8"/>
  <c r="A26" i="8"/>
  <c r="M25" i="8"/>
  <c r="J25" i="8"/>
  <c r="H25" i="8"/>
  <c r="G25" i="8"/>
  <c r="F25" i="8"/>
  <c r="E25" i="8"/>
  <c r="D25" i="8"/>
  <c r="C25" i="8"/>
  <c r="B25" i="8"/>
  <c r="A25" i="8"/>
  <c r="L24" i="8"/>
  <c r="J24" i="8"/>
  <c r="H24" i="8"/>
  <c r="G24" i="8"/>
  <c r="F24" i="8"/>
  <c r="E24" i="8"/>
  <c r="D24" i="8"/>
  <c r="C24" i="8"/>
  <c r="B24" i="8"/>
  <c r="A24" i="8"/>
  <c r="K23" i="8"/>
  <c r="I23" i="8"/>
  <c r="H23" i="8"/>
  <c r="G23" i="8"/>
  <c r="F23" i="8"/>
  <c r="E23" i="8"/>
  <c r="D23" i="8"/>
  <c r="C23" i="8"/>
  <c r="B23" i="8"/>
  <c r="A23" i="8"/>
  <c r="K22" i="8"/>
  <c r="I22" i="8"/>
  <c r="H22" i="8"/>
  <c r="G22" i="8"/>
  <c r="F22" i="8"/>
  <c r="E22" i="8"/>
  <c r="D22" i="8"/>
  <c r="C22" i="8"/>
  <c r="B22" i="8"/>
  <c r="A22" i="8"/>
  <c r="H21" i="8"/>
  <c r="G21" i="8"/>
  <c r="F21" i="8"/>
  <c r="E21" i="8"/>
  <c r="D21" i="8"/>
  <c r="C21" i="8"/>
  <c r="B21" i="8"/>
  <c r="A21" i="8"/>
  <c r="H20" i="8"/>
  <c r="G20" i="8"/>
  <c r="F20" i="8"/>
  <c r="E20" i="8"/>
  <c r="D20" i="8"/>
  <c r="C20" i="8"/>
  <c r="B20" i="8"/>
  <c r="A20" i="8"/>
  <c r="K19" i="8"/>
  <c r="J19" i="8"/>
  <c r="I19" i="8"/>
  <c r="H19" i="8"/>
  <c r="G19" i="8"/>
  <c r="F19" i="8"/>
  <c r="E19" i="8"/>
  <c r="D19" i="8"/>
  <c r="C19" i="8"/>
  <c r="B19" i="8"/>
  <c r="A19" i="8"/>
  <c r="O18" i="8"/>
  <c r="H18" i="8"/>
  <c r="G18" i="8"/>
  <c r="F18" i="8"/>
  <c r="E18" i="8"/>
  <c r="D18" i="8"/>
  <c r="C18" i="8"/>
  <c r="B18" i="8"/>
  <c r="A18" i="8"/>
  <c r="H17" i="8"/>
  <c r="G17" i="8"/>
  <c r="F17" i="8"/>
  <c r="E17" i="8"/>
  <c r="D17" i="8"/>
  <c r="C17" i="8"/>
  <c r="B17" i="8"/>
  <c r="A17" i="8"/>
  <c r="L16" i="8"/>
  <c r="J16" i="8"/>
  <c r="I16" i="8"/>
  <c r="H16" i="8"/>
  <c r="G16" i="8"/>
  <c r="F16" i="8"/>
  <c r="E16" i="8"/>
  <c r="D16" i="8"/>
  <c r="C16" i="8"/>
  <c r="B16" i="8"/>
  <c r="A16" i="8"/>
  <c r="H15" i="8"/>
  <c r="G15" i="8"/>
  <c r="F15" i="8"/>
  <c r="E15" i="8"/>
  <c r="D15" i="8"/>
  <c r="C15" i="8"/>
  <c r="B15" i="8"/>
  <c r="A15" i="8"/>
  <c r="L14" i="8"/>
  <c r="J14" i="8"/>
  <c r="H14" i="8"/>
  <c r="G14" i="8"/>
  <c r="F14" i="8"/>
  <c r="E14" i="8"/>
  <c r="D14" i="8"/>
  <c r="C14" i="8"/>
  <c r="B14" i="8"/>
  <c r="A14" i="8"/>
  <c r="K13" i="8"/>
  <c r="I13" i="8"/>
  <c r="H13" i="8"/>
  <c r="G13" i="8"/>
  <c r="F13" i="8"/>
  <c r="E13" i="8"/>
  <c r="D13" i="8"/>
  <c r="C13" i="8"/>
  <c r="B13" i="8"/>
  <c r="A13" i="8"/>
  <c r="K12" i="8"/>
  <c r="I12" i="8"/>
  <c r="H12" i="8"/>
  <c r="G12" i="8"/>
  <c r="F12" i="8"/>
  <c r="E12" i="8"/>
  <c r="D12" i="8"/>
  <c r="C12" i="8"/>
  <c r="B12" i="8"/>
  <c r="A12" i="8"/>
  <c r="N11" i="8"/>
  <c r="I11" i="8"/>
  <c r="H11" i="8"/>
  <c r="G11" i="8"/>
  <c r="F11" i="8"/>
  <c r="E11" i="8"/>
  <c r="D11" i="8"/>
  <c r="C11" i="8"/>
  <c r="B11" i="8"/>
  <c r="A11" i="8"/>
  <c r="K10" i="8"/>
  <c r="I10" i="8"/>
  <c r="H10" i="8"/>
  <c r="G10" i="8"/>
  <c r="F10" i="8"/>
  <c r="E10" i="8"/>
  <c r="D10" i="8"/>
  <c r="C10" i="8"/>
  <c r="B10" i="8"/>
  <c r="A10" i="8"/>
  <c r="H9" i="8"/>
  <c r="G9" i="8"/>
  <c r="F9" i="8"/>
  <c r="E9" i="8"/>
  <c r="D9" i="8"/>
  <c r="C9" i="8"/>
  <c r="B9" i="8"/>
  <c r="A9" i="8"/>
  <c r="H8" i="8"/>
  <c r="G8" i="8"/>
  <c r="F8" i="8"/>
  <c r="E8" i="8"/>
  <c r="D8" i="8"/>
  <c r="C8" i="8"/>
  <c r="B8" i="8"/>
  <c r="A8" i="8"/>
  <c r="H7" i="8"/>
  <c r="G7" i="8"/>
  <c r="F7" i="8"/>
  <c r="E7" i="8"/>
  <c r="D7" i="8"/>
  <c r="C7" i="8"/>
  <c r="B7" i="8"/>
  <c r="A7" i="8"/>
  <c r="H6" i="8"/>
  <c r="G6" i="8"/>
  <c r="F6" i="8"/>
  <c r="E6" i="8"/>
  <c r="D6" i="8"/>
  <c r="C6" i="8"/>
  <c r="B6" i="8"/>
  <c r="A6" i="8"/>
  <c r="I5" i="8"/>
  <c r="H5" i="8"/>
  <c r="G5" i="8"/>
  <c r="F5" i="8"/>
  <c r="E5" i="8"/>
  <c r="D5" i="8"/>
  <c r="C5" i="8"/>
  <c r="B5" i="8"/>
  <c r="A5" i="8"/>
  <c r="I4" i="8"/>
  <c r="H4" i="8"/>
  <c r="G4" i="8"/>
  <c r="F4" i="8"/>
  <c r="E4" i="8"/>
  <c r="D4" i="8"/>
  <c r="C4" i="8"/>
  <c r="B4" i="8"/>
  <c r="A4" i="8"/>
  <c r="I3" i="8"/>
  <c r="H3" i="8"/>
  <c r="G3" i="8"/>
  <c r="F3" i="8"/>
  <c r="E3" i="8"/>
  <c r="D3" i="8"/>
  <c r="C3" i="8"/>
  <c r="B3" i="8"/>
  <c r="A3" i="8"/>
  <c r="M2" i="8"/>
  <c r="L2" i="8"/>
  <c r="H2" i="8"/>
  <c r="G2" i="8"/>
  <c r="F2" i="8"/>
  <c r="E2" i="8"/>
  <c r="D2" i="8"/>
  <c r="C2" i="8"/>
  <c r="B2" i="8"/>
  <c r="A2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A1" i="8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AE95" i="1" s="1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2" i="5"/>
  <c r="B22" i="5"/>
  <c r="A22" i="5"/>
  <c r="C21" i="5"/>
  <c r="B21" i="5"/>
  <c r="A21" i="5"/>
  <c r="C20" i="5"/>
  <c r="B20" i="5"/>
  <c r="A20" i="5"/>
  <c r="C19" i="5"/>
  <c r="B19" i="5"/>
  <c r="A19" i="5"/>
  <c r="C18" i="5"/>
  <c r="B18" i="5"/>
  <c r="A18" i="5"/>
  <c r="C17" i="5"/>
  <c r="B17" i="5"/>
  <c r="A17" i="5"/>
  <c r="C16" i="5"/>
  <c r="B16" i="5"/>
  <c r="A16" i="5"/>
  <c r="C15" i="5"/>
  <c r="B15" i="5"/>
  <c r="A15" i="5"/>
  <c r="C14" i="5"/>
  <c r="B14" i="5"/>
  <c r="A14" i="5"/>
  <c r="C13" i="5"/>
  <c r="B13" i="5"/>
  <c r="A13" i="5"/>
  <c r="C12" i="5"/>
  <c r="B12" i="5"/>
  <c r="A12" i="5"/>
  <c r="C11" i="5"/>
  <c r="B11" i="5"/>
  <c r="A11" i="5"/>
  <c r="C10" i="5"/>
  <c r="B10" i="5"/>
  <c r="A10" i="5"/>
  <c r="C9" i="5"/>
  <c r="B9" i="5"/>
  <c r="A9" i="5"/>
  <c r="C8" i="5"/>
  <c r="B8" i="5"/>
  <c r="A8" i="5"/>
  <c r="C7" i="5"/>
  <c r="B7" i="5"/>
  <c r="A7" i="5"/>
  <c r="C6" i="5"/>
  <c r="B6" i="5"/>
  <c r="A6" i="5"/>
  <c r="C5" i="5"/>
  <c r="B5" i="5"/>
  <c r="A5" i="5"/>
  <c r="C4" i="5"/>
  <c r="B4" i="5"/>
  <c r="A4" i="5"/>
  <c r="C3" i="5"/>
  <c r="B3" i="5"/>
  <c r="A3" i="5"/>
  <c r="C2" i="5"/>
  <c r="B2" i="5"/>
  <c r="A2" i="5"/>
  <c r="B1" i="5"/>
  <c r="A1" i="5"/>
  <c r="J87" i="4"/>
  <c r="G87" i="4"/>
  <c r="E87" i="4"/>
  <c r="D87" i="4"/>
  <c r="I9" i="3"/>
  <c r="I8" i="3"/>
  <c r="I7" i="3"/>
  <c r="I6" i="3"/>
  <c r="I5" i="3"/>
  <c r="I4" i="3"/>
  <c r="I3" i="3"/>
  <c r="I2" i="3"/>
  <c r="DB104" i="1"/>
  <c r="CY104" i="1"/>
  <c r="CX104" i="1"/>
  <c r="CW104" i="1"/>
  <c r="CV104" i="1"/>
  <c r="CU104" i="1"/>
  <c r="CT104" i="1"/>
  <c r="CS104" i="1"/>
  <c r="CR104" i="1"/>
  <c r="CQ104" i="1"/>
  <c r="CP104" i="1"/>
  <c r="CK104" i="1"/>
  <c r="CH104" i="1"/>
  <c r="CG104" i="1"/>
  <c r="CE104" i="1"/>
  <c r="CD104" i="1"/>
  <c r="CB104" i="1"/>
  <c r="CA104" i="1"/>
  <c r="BZ104" i="1"/>
  <c r="BY104" i="1"/>
  <c r="BX104" i="1"/>
  <c r="BW104" i="1"/>
  <c r="BV104" i="1"/>
  <c r="BU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Y104" i="1"/>
  <c r="AX104" i="1"/>
  <c r="AW104" i="1"/>
  <c r="AV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D104" i="1"/>
  <c r="AC104" i="1"/>
  <c r="AA104" i="1"/>
  <c r="Z104" i="1"/>
  <c r="N104" i="1"/>
  <c r="M104" i="1"/>
  <c r="L104" i="1"/>
  <c r="K104" i="1"/>
  <c r="J104" i="1"/>
  <c r="H104" i="1"/>
  <c r="G104" i="1"/>
  <c r="F104" i="1"/>
  <c r="D104" i="1"/>
  <c r="C104" i="1"/>
  <c r="B104" i="1"/>
  <c r="AU103" i="1"/>
  <c r="AU102" i="1"/>
  <c r="AU101" i="1"/>
  <c r="AU100" i="1"/>
  <c r="AU99" i="1"/>
  <c r="AE99" i="1"/>
  <c r="I99" i="1"/>
  <c r="AU98" i="1"/>
  <c r="AE98" i="1"/>
  <c r="I98" i="1"/>
  <c r="AU97" i="1"/>
  <c r="AE97" i="1"/>
  <c r="I97" i="1"/>
  <c r="AU95" i="1"/>
  <c r="I95" i="1"/>
  <c r="AU94" i="1"/>
  <c r="AE94" i="1"/>
  <c r="I94" i="1"/>
  <c r="AU93" i="1"/>
  <c r="AE93" i="1"/>
  <c r="I93" i="1"/>
  <c r="AU92" i="1"/>
  <c r="AE92" i="1"/>
  <c r="I92" i="1"/>
  <c r="AU91" i="1"/>
  <c r="AE91" i="1"/>
  <c r="I91" i="1"/>
  <c r="AU90" i="1"/>
  <c r="AE90" i="1"/>
  <c r="I90" i="1"/>
  <c r="AU89" i="1"/>
  <c r="AE89" i="1"/>
  <c r="I89" i="1"/>
  <c r="AU88" i="1"/>
  <c r="AE88" i="1"/>
  <c r="I88" i="1"/>
  <c r="AU87" i="1"/>
  <c r="AE87" i="1"/>
  <c r="I87" i="1"/>
  <c r="AU86" i="1"/>
  <c r="AE86" i="1"/>
  <c r="I86" i="1"/>
  <c r="AU85" i="1"/>
  <c r="AE85" i="1"/>
  <c r="I85" i="1"/>
  <c r="AU84" i="1"/>
  <c r="AE84" i="1"/>
  <c r="AB84" i="1"/>
  <c r="I84" i="1"/>
  <c r="AU82" i="1"/>
  <c r="AE82" i="1"/>
  <c r="I82" i="1"/>
  <c r="AU81" i="1"/>
  <c r="AE81" i="1"/>
  <c r="I81" i="1"/>
  <c r="AU80" i="1"/>
  <c r="AE80" i="1"/>
  <c r="I80" i="1"/>
  <c r="AU79" i="1"/>
  <c r="AE79" i="1"/>
  <c r="I79" i="1"/>
  <c r="AU78" i="1"/>
  <c r="AE78" i="1"/>
  <c r="I78" i="1"/>
  <c r="AU77" i="1"/>
  <c r="AE77" i="1"/>
  <c r="I77" i="1"/>
  <c r="AU76" i="1"/>
  <c r="AE76" i="1"/>
  <c r="I76" i="1"/>
  <c r="AU75" i="1"/>
  <c r="I75" i="1"/>
  <c r="AE73" i="1"/>
  <c r="AE72" i="1"/>
  <c r="AB72" i="1"/>
  <c r="AU71" i="1"/>
  <c r="AE71" i="1"/>
  <c r="I71" i="1"/>
  <c r="AU70" i="1"/>
  <c r="AE70" i="1"/>
  <c r="I70" i="1"/>
  <c r="AU68" i="1"/>
  <c r="AE68" i="1"/>
  <c r="I68" i="1"/>
  <c r="AU66" i="1"/>
  <c r="AE66" i="1"/>
  <c r="I66" i="1"/>
  <c r="AU65" i="1"/>
  <c r="AE65" i="1"/>
  <c r="I65" i="1"/>
  <c r="AU63" i="1"/>
  <c r="AE63" i="1"/>
  <c r="I63" i="1"/>
  <c r="AU62" i="1"/>
  <c r="AE62" i="1"/>
  <c r="I62" i="1"/>
  <c r="AU61" i="1"/>
  <c r="AE61" i="1"/>
  <c r="I61" i="1"/>
  <c r="AU60" i="1"/>
  <c r="AE60" i="1"/>
  <c r="I60" i="1"/>
  <c r="AU59" i="1"/>
  <c r="AE59" i="1"/>
  <c r="I59" i="1"/>
  <c r="AU58" i="1"/>
  <c r="AE58" i="1"/>
  <c r="I58" i="1"/>
  <c r="AU57" i="1"/>
  <c r="AE57" i="1"/>
  <c r="I57" i="1"/>
  <c r="AU56" i="1"/>
  <c r="AE56" i="1"/>
  <c r="I56" i="1"/>
  <c r="AU55" i="1"/>
  <c r="AE55" i="1"/>
  <c r="I55" i="1"/>
  <c r="CJ104" i="1"/>
  <c r="AU54" i="1"/>
  <c r="AE54" i="1"/>
  <c r="I54" i="1"/>
  <c r="AU53" i="1"/>
  <c r="AE53" i="1"/>
  <c r="I53" i="1"/>
  <c r="AU52" i="1"/>
  <c r="AE52" i="1"/>
  <c r="I52" i="1"/>
  <c r="AU51" i="1"/>
  <c r="AE51" i="1"/>
  <c r="I51" i="1"/>
  <c r="AU50" i="1"/>
  <c r="AE50" i="1"/>
  <c r="I50" i="1"/>
  <c r="AU49" i="1"/>
  <c r="AE49" i="1"/>
  <c r="I49" i="1"/>
  <c r="DA104" i="1"/>
  <c r="CL104" i="1"/>
  <c r="AU48" i="1"/>
  <c r="AE48" i="1"/>
  <c r="AB48" i="1"/>
  <c r="I48" i="1"/>
  <c r="AU47" i="1"/>
  <c r="AE47" i="1"/>
  <c r="I47" i="1"/>
  <c r="AU46" i="1"/>
  <c r="AE46" i="1"/>
  <c r="I46" i="1"/>
  <c r="AU45" i="1"/>
  <c r="AE45" i="1"/>
  <c r="I45" i="1"/>
  <c r="AU44" i="1"/>
  <c r="AE44" i="1"/>
  <c r="I44" i="1"/>
  <c r="AE43" i="1"/>
  <c r="AU42" i="1"/>
  <c r="AE42" i="1"/>
  <c r="I42" i="1"/>
  <c r="AU41" i="1"/>
  <c r="AE41" i="1"/>
  <c r="I41" i="1"/>
  <c r="CZ40" i="1"/>
  <c r="CZ104" i="1" s="1"/>
  <c r="CO40" i="1"/>
  <c r="CO104" i="1" s="1"/>
  <c r="CN40" i="1"/>
  <c r="CN104" i="1" s="1"/>
  <c r="CM40" i="1"/>
  <c r="CM104" i="1" s="1"/>
  <c r="CI40" i="1"/>
  <c r="CI104" i="1" s="1"/>
  <c r="AU40" i="1"/>
  <c r="AU104" i="1" s="1"/>
  <c r="I40" i="1"/>
  <c r="AE39" i="1"/>
  <c r="I39" i="1"/>
  <c r="AE38" i="1"/>
  <c r="I38" i="1"/>
  <c r="AE36" i="1"/>
  <c r="I36" i="1"/>
  <c r="AE35" i="1"/>
  <c r="I35" i="1"/>
  <c r="AE34" i="1"/>
  <c r="AB34" i="1"/>
  <c r="I34" i="1"/>
  <c r="AE33" i="1"/>
  <c r="I33" i="1"/>
  <c r="AE32" i="1"/>
  <c r="I32" i="1"/>
  <c r="AE30" i="1"/>
  <c r="AB30" i="1"/>
  <c r="I30" i="1"/>
  <c r="AE29" i="1"/>
  <c r="I29" i="1"/>
  <c r="AZ104" i="1"/>
  <c r="AE28" i="1"/>
  <c r="I28" i="1"/>
  <c r="AE27" i="1"/>
  <c r="I27" i="1"/>
  <c r="CF104" i="1"/>
  <c r="CC104" i="1"/>
  <c r="BT104" i="1"/>
  <c r="AE26" i="1"/>
  <c r="I26" i="1"/>
  <c r="AE25" i="1"/>
  <c r="I25" i="1"/>
  <c r="AE24" i="1"/>
  <c r="I24" i="1"/>
  <c r="AE23" i="1"/>
  <c r="I23" i="1"/>
  <c r="AE22" i="1"/>
  <c r="I22" i="1"/>
  <c r="AE21" i="1"/>
  <c r="I21" i="1"/>
  <c r="I20" i="1"/>
  <c r="AE19" i="1"/>
  <c r="I19" i="1"/>
  <c r="AE18" i="1"/>
  <c r="I18" i="1"/>
  <c r="AE17" i="1"/>
  <c r="AB17" i="1"/>
  <c r="I17" i="1"/>
  <c r="AE16" i="1"/>
  <c r="AE14" i="1"/>
  <c r="I14" i="1"/>
  <c r="AE13" i="1"/>
  <c r="I13" i="1"/>
  <c r="AE12" i="1"/>
  <c r="I12" i="1"/>
  <c r="AE11" i="1"/>
  <c r="I11" i="1"/>
  <c r="AE10" i="1"/>
  <c r="I10" i="1"/>
  <c r="AE9" i="1"/>
  <c r="AB9" i="1"/>
  <c r="I9" i="1"/>
  <c r="AE8" i="1"/>
  <c r="I8" i="1"/>
  <c r="AE7" i="1"/>
  <c r="I7" i="1"/>
  <c r="AE6" i="1"/>
  <c r="I6" i="1"/>
  <c r="AB95" i="1"/>
  <c r="O4" i="1"/>
  <c r="O92" i="1" s="1"/>
  <c r="AE20" i="1" l="1"/>
  <c r="AE40" i="1"/>
  <c r="AE75" i="1"/>
  <c r="I104" i="1"/>
  <c r="I20" i="4"/>
  <c r="O30" i="1"/>
  <c r="AB28" i="1"/>
  <c r="O6" i="1"/>
  <c r="O45" i="1"/>
  <c r="AB18" i="1"/>
  <c r="AB78" i="1"/>
  <c r="AB11" i="1"/>
  <c r="AB36" i="1"/>
  <c r="AB42" i="1"/>
  <c r="AB51" i="1"/>
  <c r="AB54" i="1"/>
  <c r="AB57" i="1"/>
  <c r="AB6" i="1"/>
  <c r="AB59" i="1"/>
  <c r="AB49" i="1"/>
  <c r="AB89" i="1"/>
  <c r="O13" i="1"/>
  <c r="AB65" i="1"/>
  <c r="O23" i="1"/>
  <c r="AB8" i="1"/>
  <c r="AB32" i="1"/>
  <c r="AB19" i="1"/>
  <c r="AB62" i="1"/>
  <c r="AB75" i="1"/>
  <c r="O21" i="1"/>
  <c r="O61" i="1"/>
  <c r="AB46" i="1"/>
  <c r="O56" i="1"/>
  <c r="AB80" i="1"/>
  <c r="O11" i="1"/>
  <c r="O36" i="1"/>
  <c r="O48" i="1"/>
  <c r="O59" i="1"/>
  <c r="O86" i="1"/>
  <c r="F20" i="4"/>
  <c r="AB13" i="1"/>
  <c r="AB21" i="1"/>
  <c r="AB23" i="1"/>
  <c r="O34" i="1"/>
  <c r="O65" i="1"/>
  <c r="O84" i="1"/>
  <c r="O91" i="1"/>
  <c r="O97" i="1"/>
  <c r="O40" i="1"/>
  <c r="O89" i="1"/>
  <c r="O94" i="1"/>
  <c r="I32" i="4"/>
  <c r="O27" i="1"/>
  <c r="O41" i="1"/>
  <c r="O70" i="1"/>
  <c r="AB14" i="1"/>
  <c r="O53" i="1"/>
  <c r="AB87" i="1"/>
  <c r="AB94" i="1"/>
  <c r="O51" i="1"/>
  <c r="AB70" i="1"/>
  <c r="O82" i="1"/>
  <c r="AB92" i="1"/>
  <c r="O26" i="1"/>
  <c r="AB22" i="1"/>
  <c r="AB26" i="1"/>
  <c r="O77" i="1"/>
  <c r="O18" i="1"/>
  <c r="AB24" i="1"/>
  <c r="AB27" i="1"/>
  <c r="AB40" i="1"/>
  <c r="O8" i="1"/>
  <c r="AB38" i="1"/>
  <c r="O75" i="1"/>
  <c r="O80" i="1"/>
  <c r="AB98" i="1"/>
  <c r="AE104" i="1"/>
  <c r="O19" i="1"/>
  <c r="O24" i="1"/>
  <c r="O38" i="1"/>
  <c r="AB44" i="1"/>
  <c r="O46" i="1"/>
  <c r="O49" i="1"/>
  <c r="AB52" i="1"/>
  <c r="O54" i="1"/>
  <c r="AB66" i="1"/>
  <c r="AB71" i="1"/>
  <c r="O98" i="1"/>
  <c r="F32" i="4"/>
  <c r="H32" i="4"/>
  <c r="O33" i="1"/>
  <c r="AB41" i="1"/>
  <c r="AB43" i="1"/>
  <c r="AB56" i="1"/>
  <c r="O58" i="1"/>
  <c r="AB61" i="1"/>
  <c r="O63" i="1"/>
  <c r="O68" i="1"/>
  <c r="AB77" i="1"/>
  <c r="O79" i="1"/>
  <c r="AB82" i="1"/>
  <c r="AB86" i="1"/>
  <c r="O88" i="1"/>
  <c r="AB91" i="1"/>
  <c r="O93" i="1"/>
  <c r="O10" i="1"/>
  <c r="O29" i="1"/>
  <c r="AB45" i="1"/>
  <c r="O47" i="1"/>
  <c r="AB97" i="1"/>
  <c r="O99" i="1"/>
  <c r="O20" i="1"/>
  <c r="O50" i="1"/>
  <c r="AB53" i="1"/>
  <c r="O7" i="1"/>
  <c r="AB10" i="1"/>
  <c r="O12" i="1"/>
  <c r="AB33" i="1"/>
  <c r="O35" i="1"/>
  <c r="O55" i="1"/>
  <c r="AB58" i="1"/>
  <c r="O60" i="1"/>
  <c r="AB63" i="1"/>
  <c r="AB68" i="1"/>
  <c r="AB73" i="1"/>
  <c r="O76" i="1"/>
  <c r="AB79" i="1"/>
  <c r="O81" i="1"/>
  <c r="O85" i="1"/>
  <c r="AB88" i="1"/>
  <c r="O90" i="1"/>
  <c r="AB93" i="1"/>
  <c r="O95" i="1"/>
  <c r="O17" i="1"/>
  <c r="AB25" i="1"/>
  <c r="AB29" i="1"/>
  <c r="O44" i="1"/>
  <c r="AB47" i="1"/>
  <c r="AB50" i="1"/>
  <c r="O52" i="1"/>
  <c r="O66" i="1"/>
  <c r="O71" i="1"/>
  <c r="AB99" i="1"/>
  <c r="H20" i="4"/>
  <c r="O25" i="1"/>
  <c r="O39" i="1"/>
  <c r="AB20" i="1"/>
  <c r="O22" i="1"/>
  <c r="AB39" i="1"/>
  <c r="AB7" i="1"/>
  <c r="O9" i="1"/>
  <c r="AB12" i="1"/>
  <c r="O14" i="1"/>
  <c r="O28" i="1"/>
  <c r="O32" i="1"/>
  <c r="AB35" i="1"/>
  <c r="O42" i="1"/>
  <c r="AB55" i="1"/>
  <c r="O57" i="1"/>
  <c r="AB60" i="1"/>
  <c r="O62" i="1"/>
  <c r="AB76" i="1"/>
  <c r="O78" i="1"/>
  <c r="AB81" i="1"/>
  <c r="AB83" i="1"/>
  <c r="AB85" i="1"/>
  <c r="O87" i="1"/>
  <c r="AB90" i="1"/>
  <c r="I87" i="4" l="1"/>
  <c r="F87" i="4"/>
  <c r="O104" i="1"/>
  <c r="AB104" i="1"/>
  <c r="H8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F000000}">
      <text>
        <r>
          <rPr>
            <sz val="11"/>
            <color theme="1"/>
            <rFont val="Arial"/>
          </rPr>
          <t>@tony.yi@celsius.network no yield here as well
_Assigned to Tony Yi_
	-Ron Sabo
----
@tony.yi@celsius.network seem like this wallet has no yield assosited with it. can you check?
_Assigned to Tony Yi_
	-Ron Sabo</t>
        </r>
      </text>
    </comment>
    <comment ref="P4" authorId="0" shapeId="0" xr:uid="{00000000-0006-0000-0000-000001000000}">
      <text>
        <r>
          <rPr>
            <sz val="11"/>
            <color theme="1"/>
            <rFont val="Arial"/>
          </rPr>
          <t>@kai.tang@celsius.network can we implement the new borrow dashboard APY to auto fill for this category?
_Assigned to Kai Tang_
	-Dean Tappen
@kai.tang@celsius.network
	-Dean Tappen
done
	-Kai Tang
amazing! thank you so much
	-Dean Tappen</t>
        </r>
      </text>
    </comment>
    <comment ref="BF8" authorId="0" shapeId="0" xr:uid="{00000000-0006-0000-0000-000005000000}">
      <text>
        <r>
          <rPr>
            <sz val="11"/>
            <color theme="1"/>
            <rFont val="Arial"/>
          </rPr>
          <t>@connor.nolan@celsius.network 227 AAVE here
_Assigned to Connor Nolan_
	-Dean Tappen</t>
        </r>
      </text>
    </comment>
    <comment ref="BF11" authorId="0" shapeId="0" xr:uid="{00000000-0006-0000-0000-000007000000}">
      <text>
        <r>
          <rPr>
            <sz val="11"/>
            <color theme="1"/>
            <rFont val="Arial"/>
          </rPr>
          <t>189539.3637 ALPHA here @connor.nolan@celsius.network
_Assigned to Connor Nolan_
	-Dean Tappen</t>
        </r>
      </text>
    </comment>
    <comment ref="M26" authorId="0" shapeId="0" xr:uid="{00000000-0006-0000-0000-00000E000000}">
      <text>
        <r>
          <rPr>
            <sz val="11"/>
            <color theme="1"/>
            <rFont val="Arial"/>
          </rPr>
          <t>@glenn.williams@celsius.network do you still have the live Greyscale and Osprey P/D data?
_Assigned to Glenn Williams_
	-Dean Tappen
I used to manually calculate/update that in a separate sheet, but I think there is another sheet that was set up to do that automatically.  I'll see if i can track it down
	-Glenn Williams
Dean, let me know if this one is of assistance https://docs.google.com/spreadsheets/d/1ES5FuyAt-CYnPoOqQ5s28RUxYpZoEF9Rd4OsC33nvN0/edit#gid=0
	-Glenn Williams
I would put 0% as APY here.
	-Ron Sabo</t>
        </r>
      </text>
    </comment>
    <comment ref="BF26" authorId="0" shapeId="0" xr:uid="{00000000-0006-0000-0000-000006000000}">
      <text>
        <r>
          <rPr>
            <sz val="11"/>
            <color theme="1"/>
            <rFont val="Arial"/>
          </rPr>
          <t>2.88 BTC @connor.nolan@celsius.network
_Assigned to Connor Nolan_
	-Dean Tappen</t>
        </r>
      </text>
    </comment>
    <comment ref="AQ34" authorId="0" shapeId="0" xr:uid="{00000000-0006-0000-0000-00000B000000}">
      <text>
        <r>
          <rPr>
            <sz val="11"/>
            <color theme="1"/>
            <rFont val="Arial"/>
          </rPr>
          <t>@connor.nolan@celsius.network @ron.sabo@celsius.network I have no idea who the owner is or what current APY's are here - are we even currently still staking?
_Assigned to Ron Sabo_
	-Dean Tappen
we are staking only a portion of our DASH holdings (stack with creating new mated nodes). Current API is 2% and would go up to 5%+ once we solve this.
	-Ron Sabo</t>
        </r>
      </text>
    </comment>
    <comment ref="N36" authorId="0" shapeId="0" xr:uid="{00000000-0006-0000-0000-00000A000000}">
      <text>
        <r>
          <rPr>
            <sz val="11"/>
            <color theme="1"/>
            <rFont val="Arial"/>
          </rPr>
          <t>this is not yet trading in the secondary market so for now we can treat it at NAV (0% APY)
	-Dean Tappen</t>
        </r>
      </text>
    </comment>
    <comment ref="BF40" authorId="0" shapeId="0" xr:uid="{00000000-0006-0000-0000-000008000000}">
      <text>
        <r>
          <rPr>
            <sz val="11"/>
            <color theme="1"/>
            <rFont val="Arial"/>
          </rPr>
          <t>95 ETH deployed here @connor.nolan@celsius.network
_Assigned to Connor Nolan_
	-Dean Tappen</t>
        </r>
      </text>
    </comment>
    <comment ref="BG41" authorId="0" shapeId="0" xr:uid="{00000000-0006-0000-0000-000003000000}">
      <text>
        <r>
          <rPr>
            <sz val="11"/>
            <color theme="1"/>
            <rFont val="Arial"/>
          </rPr>
          <t>@connor.nolan@celsius.network 39.8308 FARM
_Assigned to Connor Nolan_
	-Dean Tappen</t>
        </r>
      </text>
    </comment>
    <comment ref="DL56" authorId="0" shapeId="0" xr:uid="{00000000-0006-0000-0000-00000C000000}">
      <text>
        <r>
          <rPr>
            <sz val="11"/>
            <color theme="1"/>
            <rFont val="Arial"/>
          </rPr>
          <t>@ron.sabo@celsius.network same here as well
_Assigned to Ron Sabo_
	-Dean Tappen
This is captured as part of the matic direct staking and should be ignored here (also in the freeze from now on)
	-Ron Sabo</t>
        </r>
      </text>
    </comment>
    <comment ref="DT56" authorId="0" shapeId="0" xr:uid="{00000000-0006-0000-0000-00000D000000}">
      <text>
        <r>
          <rPr>
            <sz val="11"/>
            <color theme="1"/>
            <rFont val="Arial"/>
          </rPr>
          <t>@ron.sabo@celsius.network do you have current MATIC staking rates?
_Assigned to Ron Sabo_
	-Dean Tappen
it is 13% but shoul only be applied on the direct staking coloum not here
	-Ron Sabo</t>
        </r>
      </text>
    </comment>
    <comment ref="BF75" authorId="0" shapeId="0" xr:uid="{00000000-0006-0000-0000-000002000000}">
      <text>
        <r>
          <rPr>
            <sz val="11"/>
            <color theme="1"/>
            <rFont val="Arial"/>
          </rPr>
          <t>SNX Balance @connor.nolan@celsius.network
_Assigned to Connor Nolan_
	-Dean Tappen</t>
        </r>
      </text>
    </comment>
    <comment ref="BF86" authorId="0" shapeId="0" xr:uid="{00000000-0006-0000-0000-000009000000}">
      <text>
        <r>
          <rPr>
            <sz val="11"/>
            <color theme="1"/>
            <rFont val="Arial"/>
          </rPr>
          <t>@connor.nolan@celsius.network 45514.65 UNI deployed here with no APY
_Assigned to Connor Nolan_
	-Dean Tappen</t>
        </r>
      </text>
    </comment>
    <comment ref="BF95" authorId="0" shapeId="0" xr:uid="{00000000-0006-0000-0000-000004000000}">
      <text>
        <r>
          <rPr>
            <sz val="11"/>
            <color theme="1"/>
            <rFont val="Arial"/>
          </rPr>
          <t>@connor.nolan@celsius.network 0.4258424739 YFI
_Assigned to Connor Nolan_
	-Dean Tappen</t>
        </r>
      </text>
    </comment>
  </commentList>
</comments>
</file>

<file path=xl/sharedStrings.xml><?xml version="1.0" encoding="utf-8"?>
<sst xmlns="http://schemas.openxmlformats.org/spreadsheetml/2006/main" count="3142" uniqueCount="304">
  <si>
    <t>Coin</t>
  </si>
  <si>
    <t>Bank - Balances</t>
  </si>
  <si>
    <t>Celsius Network</t>
  </si>
  <si>
    <t>Celsius Network System</t>
  </si>
  <si>
    <t>Celsius Network Finance</t>
  </si>
  <si>
    <t>Celsius OTC</t>
  </si>
  <si>
    <t>CEL Treasury</t>
  </si>
  <si>
    <t>CEL Users</t>
  </si>
  <si>
    <t>Loans Out</t>
  </si>
  <si>
    <t>Posted Collateral</t>
  </si>
  <si>
    <t>PrimeTrust</t>
  </si>
  <si>
    <t>Loans</t>
  </si>
  <si>
    <t>Grayscale</t>
  </si>
  <si>
    <t>Osprey</t>
  </si>
  <si>
    <t>FTX - CnC</t>
  </si>
  <si>
    <t>FTX - Borrow</t>
  </si>
  <si>
    <t>Synthetix + Hedge</t>
  </si>
  <si>
    <t>Deployment- 1INCH Staking (TESTING)</t>
  </si>
  <si>
    <t>Impermanent_loss_hedge__RonSabo</t>
  </si>
  <si>
    <t>FTX - Management</t>
  </si>
  <si>
    <t>Hedge_Options</t>
  </si>
  <si>
    <t>FTX - Kairon</t>
  </si>
  <si>
    <t xml:space="preserve">FTX </t>
  </si>
  <si>
    <t>FTX Summery</t>
  </si>
  <si>
    <t>FTX - Main Account</t>
  </si>
  <si>
    <t>FTX - CEL</t>
  </si>
  <si>
    <t>FTX - DeFi</t>
  </si>
  <si>
    <t>FTX - Brad</t>
  </si>
  <si>
    <t>FTX - cel_staking</t>
  </si>
  <si>
    <t>FTX - Grayscale</t>
  </si>
  <si>
    <t>FTX - Jacob</t>
  </si>
  <si>
    <t>FTX - Johannes</t>
  </si>
  <si>
    <t>FTX - TEAM Directional</t>
  </si>
  <si>
    <t>Binance - CnC</t>
  </si>
  <si>
    <t>Binance - Main</t>
  </si>
  <si>
    <t>Binance - Earn</t>
  </si>
  <si>
    <t>Binance - DeFi</t>
  </si>
  <si>
    <t>Binance - RS</t>
  </si>
  <si>
    <t>Stakehound</t>
  </si>
  <si>
    <t>Binance Staking</t>
  </si>
  <si>
    <t>Kraken Staking</t>
  </si>
  <si>
    <t>Direct Staking</t>
  </si>
  <si>
    <t>Mining</t>
  </si>
  <si>
    <t>EAM - Balances</t>
  </si>
  <si>
    <t>Others - Asset</t>
  </si>
  <si>
    <t>BITFINEX</t>
  </si>
  <si>
    <t>COINBASEPRO</t>
  </si>
  <si>
    <t>DERIBIT</t>
  </si>
  <si>
    <t>LIQUID</t>
  </si>
  <si>
    <t>OKEX</t>
  </si>
  <si>
    <t>YD - Curve - BUSDv2</t>
  </si>
  <si>
    <t>AAVE Deployment / Staking</t>
  </si>
  <si>
    <t>Bufords</t>
  </si>
  <si>
    <t>Celsius Borrows Account</t>
  </si>
  <si>
    <t>Deployment Team - Misc</t>
  </si>
  <si>
    <t>Network Deposits</t>
  </si>
  <si>
    <t>OmniMan1</t>
  </si>
  <si>
    <t>OmniMan2</t>
  </si>
  <si>
    <t>YD - AlphaHv2</t>
  </si>
  <si>
    <t>Deployment - Alpha</t>
  </si>
  <si>
    <t>YieldDesk_Main</t>
  </si>
  <si>
    <t>YD - BADGER - byvWBTC</t>
  </si>
  <si>
    <t>Yield Desk - Badger</t>
  </si>
  <si>
    <t>Maker Borrows Vault</t>
  </si>
  <si>
    <t>YD - Badger - bBTC</t>
  </si>
  <si>
    <t>Yield Desk - Bancor</t>
  </si>
  <si>
    <t>YD - Badger - OBTC</t>
  </si>
  <si>
    <t>YD - Curve - oBTC</t>
  </si>
  <si>
    <t>YD - Curve - BBTC</t>
  </si>
  <si>
    <t>YD - Convex/Badger - hBTC</t>
  </si>
  <si>
    <t>YD - Harvest - HBTC</t>
  </si>
  <si>
    <t>Deployment - Curve</t>
  </si>
  <si>
    <t>YD - Badger - SBTC</t>
  </si>
  <si>
    <t>YD - Curve - renBTC</t>
  </si>
  <si>
    <t>YFL</t>
  </si>
  <si>
    <t>Deployment - TrueFi</t>
  </si>
  <si>
    <t>Deployment - Vesper</t>
  </si>
  <si>
    <t>YD - Vesper - vWBTC</t>
  </si>
  <si>
    <t>YD - Yearn - crvPBTC</t>
  </si>
  <si>
    <t>YD - Badger - renBTC</t>
  </si>
  <si>
    <t>YD - Harvest - oBTC</t>
  </si>
  <si>
    <t>YD - Badger - PBTC</t>
  </si>
  <si>
    <t>YD - Harvest - renBTC</t>
  </si>
  <si>
    <t>DD - Convex - tBTC</t>
  </si>
  <si>
    <t>Yield Desk - Compound</t>
  </si>
  <si>
    <t>DD - Curve - rETH</t>
  </si>
  <si>
    <t>YD - Convex - LUSD</t>
  </si>
  <si>
    <t>YD - Curve/Convex - AnkrETH</t>
  </si>
  <si>
    <t>YD - Curve - SLINK</t>
  </si>
  <si>
    <t>YD - Curve - sETH</t>
  </si>
  <si>
    <t>YD - Curve - stETH</t>
  </si>
  <si>
    <t>BlockDemon ETH Staking</t>
  </si>
  <si>
    <t>DD - Liquity - LUSD</t>
  </si>
  <si>
    <t>DD - MATIC-HEZ Arb</t>
  </si>
  <si>
    <t>DD - Vesper - vUNI</t>
  </si>
  <si>
    <t>Deployment - Stable Coin Swaps</t>
  </si>
  <si>
    <t>Deployment Team - COMP supply</t>
  </si>
  <si>
    <t>Deployment- 1INCH Staking</t>
  </si>
  <si>
    <t>KNC Migration</t>
  </si>
  <si>
    <t>MATIC Test Account</t>
  </si>
  <si>
    <t>TEST-SYNTHETIX</t>
  </si>
  <si>
    <t>YD - Keeper - ETH</t>
  </si>
  <si>
    <t>YD - Vesper - vETH</t>
  </si>
  <si>
    <t>YD - Vesper - vLINK</t>
  </si>
  <si>
    <t>Convex: cvxBUSD3CRV-f</t>
  </si>
  <si>
    <t>FTX - LONG1</t>
  </si>
  <si>
    <t>Maple Finance</t>
  </si>
  <si>
    <t>Truefi Borrows Account</t>
  </si>
  <si>
    <t>DD - Badger - tBTC</t>
  </si>
  <si>
    <t>YD - Convex - tricrypto2</t>
  </si>
  <si>
    <t>YD - Curve - pBTC</t>
  </si>
  <si>
    <t>YD - Curve - SBTC</t>
  </si>
  <si>
    <t>YD - Keeper - renBTC</t>
  </si>
  <si>
    <t>Governance Sales</t>
  </si>
  <si>
    <t>MATIC Staking 7</t>
  </si>
  <si>
    <t>YD - Convex - renBTC</t>
  </si>
  <si>
    <t>Benqi - LINK</t>
  </si>
  <si>
    <t>DD-ABRA-FTT</t>
  </si>
  <si>
    <t>Defi Banker Joe</t>
  </si>
  <si>
    <t>Defi Benqi Deployment</t>
  </si>
  <si>
    <t>Banker Joe LINK</t>
  </si>
  <si>
    <t>Reward Desk</t>
  </si>
  <si>
    <t>MATIC Staking 8</t>
  </si>
  <si>
    <t>AAVE Avalanche</t>
  </si>
  <si>
    <t>Sushi Staking</t>
  </si>
  <si>
    <t>Deployment - 1INCH Staking (testing)</t>
  </si>
  <si>
    <t>FTX - Kairon2</t>
  </si>
  <si>
    <t>DD-CONVEX-ALETH</t>
  </si>
  <si>
    <t>DD-SHIBASWAP-WBTC</t>
  </si>
  <si>
    <t>DD-NOTIONAL-WBTC</t>
  </si>
  <si>
    <t>DD-NOTIONAL-ETH</t>
  </si>
  <si>
    <t>DD-Elrond-EGLD</t>
  </si>
  <si>
    <t>DD-Yearn-LINK</t>
  </si>
  <si>
    <t>DD-Yearn-WBTC</t>
  </si>
  <si>
    <t>Deployment - 1INCH</t>
  </si>
  <si>
    <t>TEST-MATIC</t>
  </si>
  <si>
    <t>TEST-ARBITRUM</t>
  </si>
  <si>
    <t>TEST-FANTOM</t>
  </si>
  <si>
    <t>TEST-AVALANCHE</t>
  </si>
  <si>
    <t>Category</t>
  </si>
  <si>
    <t>undeployed</t>
  </si>
  <si>
    <t>Institutional Loans</t>
  </si>
  <si>
    <t>Retail Loans</t>
  </si>
  <si>
    <t>Trust</t>
  </si>
  <si>
    <t>Exchange</t>
  </si>
  <si>
    <t>Defi</t>
  </si>
  <si>
    <t>Staking</t>
  </si>
  <si>
    <t xml:space="preserve">EAM  </t>
  </si>
  <si>
    <t xml:space="preserve">Other  </t>
  </si>
  <si>
    <t>Undeployed</t>
  </si>
  <si>
    <t>defi</t>
  </si>
  <si>
    <t>CEL</t>
  </si>
  <si>
    <t xml:space="preserve">defi </t>
  </si>
  <si>
    <t>Tier</t>
  </si>
  <si>
    <t>1.0</t>
  </si>
  <si>
    <t>4.0</t>
  </si>
  <si>
    <t>5.0</t>
  </si>
  <si>
    <t>2.0</t>
  </si>
  <si>
    <t>Default</t>
  </si>
  <si>
    <t>wBTC (Y/N)</t>
  </si>
  <si>
    <t>N</t>
  </si>
  <si>
    <t>Y</t>
  </si>
  <si>
    <t xml:space="preserve">Y  </t>
  </si>
  <si>
    <t>n</t>
  </si>
  <si>
    <t>1INCH</t>
  </si>
  <si>
    <t>3CRV</t>
  </si>
  <si>
    <t>AAVE</t>
  </si>
  <si>
    <t>ADA</t>
  </si>
  <si>
    <t xml:space="preserve"> </t>
  </si>
  <si>
    <t>ALCX</t>
  </si>
  <si>
    <t>ALPHA</t>
  </si>
  <si>
    <t>alUSD</t>
  </si>
  <si>
    <t>AMPL</t>
  </si>
  <si>
    <t>ANKR</t>
  </si>
  <si>
    <t>ATLAS</t>
  </si>
  <si>
    <t>AVAX</t>
  </si>
  <si>
    <t>BADGER</t>
  </si>
  <si>
    <t>BAL</t>
  </si>
  <si>
    <t>BAT</t>
  </si>
  <si>
    <t>BCH</t>
  </si>
  <si>
    <t>BNB</t>
  </si>
  <si>
    <t>BNT</t>
  </si>
  <si>
    <t>BOND</t>
  </si>
  <si>
    <t>BOR</t>
  </si>
  <si>
    <t>BSV</t>
  </si>
  <si>
    <t>BTC</t>
  </si>
  <si>
    <t>BTG</t>
  </si>
  <si>
    <t>BUSD</t>
  </si>
  <si>
    <t>COMP</t>
  </si>
  <si>
    <t>CREAM</t>
  </si>
  <si>
    <t>CRV</t>
  </si>
  <si>
    <t>CVX</t>
  </si>
  <si>
    <t>DASH</t>
  </si>
  <si>
    <t>DIGG</t>
  </si>
  <si>
    <t>DOT</t>
  </si>
  <si>
    <t>EGLD</t>
  </si>
  <si>
    <t>EOS</t>
  </si>
  <si>
    <t>ETC</t>
  </si>
  <si>
    <t>ETH</t>
  </si>
  <si>
    <t>FARM</t>
  </si>
  <si>
    <t>FIS</t>
  </si>
  <si>
    <t>FTM</t>
  </si>
  <si>
    <t>FTT</t>
  </si>
  <si>
    <t>GUSD</t>
  </si>
  <si>
    <t>KNC</t>
  </si>
  <si>
    <t>LDO</t>
  </si>
  <si>
    <t>LINK</t>
  </si>
  <si>
    <t>LPT</t>
  </si>
  <si>
    <t>LQTY</t>
  </si>
  <si>
    <t>LTC</t>
  </si>
  <si>
    <t>LUNA</t>
  </si>
  <si>
    <t>LUSD</t>
  </si>
  <si>
    <t>LUSD Curve</t>
  </si>
  <si>
    <t>MANA</t>
  </si>
  <si>
    <t>MATIC</t>
  </si>
  <si>
    <t>MCDAI</t>
  </si>
  <si>
    <t>MKR</t>
  </si>
  <si>
    <t>OMG</t>
  </si>
  <si>
    <t>ONX</t>
  </si>
  <si>
    <t>ORBS</t>
  </si>
  <si>
    <t>PAX</t>
  </si>
  <si>
    <t>PAXG</t>
  </si>
  <si>
    <t>QI</t>
  </si>
  <si>
    <t>PNT</t>
  </si>
  <si>
    <t>REN</t>
  </si>
  <si>
    <t>RENBTC</t>
  </si>
  <si>
    <t>ROOK</t>
  </si>
  <si>
    <t>SBTC</t>
  </si>
  <si>
    <t>SGA</t>
  </si>
  <si>
    <t>SGR</t>
  </si>
  <si>
    <t>SRM</t>
  </si>
  <si>
    <t>SRM_LOCKED</t>
  </si>
  <si>
    <t>SOL</t>
  </si>
  <si>
    <t>SNX</t>
  </si>
  <si>
    <t>SPARK</t>
  </si>
  <si>
    <t>SUSD</t>
  </si>
  <si>
    <t>SUSHI</t>
  </si>
  <si>
    <t>TAUD</t>
  </si>
  <si>
    <t>TCAD</t>
  </si>
  <si>
    <t>TGBP</t>
  </si>
  <si>
    <t>THKD</t>
  </si>
  <si>
    <t>TRU</t>
  </si>
  <si>
    <t>TUSD</t>
  </si>
  <si>
    <t>UMA</t>
  </si>
  <si>
    <t>UNI</t>
  </si>
  <si>
    <t>USD</t>
  </si>
  <si>
    <t>USDC</t>
  </si>
  <si>
    <t>USDT ERC20</t>
  </si>
  <si>
    <t>VSP</t>
  </si>
  <si>
    <t>WDGLD</t>
  </si>
  <si>
    <t>XAUT</t>
  </si>
  <si>
    <t>XLM</t>
  </si>
  <si>
    <t>XRP</t>
  </si>
  <si>
    <t>YFI</t>
  </si>
  <si>
    <t>ZEC</t>
  </si>
  <si>
    <t>ZRX</t>
  </si>
  <si>
    <t>ZUSD</t>
  </si>
  <si>
    <t>check</t>
  </si>
  <si>
    <t>iferror(sumif('Weekly Rates'!D:D,A6,'Weekly Rates'!F:F)/countif('Weekly Rates'!D:D,A6),0)</t>
  </si>
  <si>
    <t xml:space="preserve">YD-Badger-bBTC
</t>
  </si>
  <si>
    <t>YD - CONVEX - OBTC</t>
  </si>
  <si>
    <t>YD - Curve - hBTC</t>
  </si>
  <si>
    <t>YD-Badger-sBTC</t>
  </si>
  <si>
    <t>DD - Polygon - Testing</t>
  </si>
  <si>
    <t>YD - CONVEX - PBTC</t>
  </si>
  <si>
    <t>YD - Curve - AnkrETH</t>
  </si>
  <si>
    <t>YD - Curve - tricrypto2</t>
  </si>
  <si>
    <t>Yield Desk</t>
  </si>
  <si>
    <t xml:space="preserve">default </t>
  </si>
  <si>
    <t>tier name</t>
  </si>
  <si>
    <t>comment</t>
  </si>
  <si>
    <t>Check</t>
  </si>
  <si>
    <t>7-30 days</t>
  </si>
  <si>
    <t>more then 30 days</t>
  </si>
  <si>
    <t>half-2,half-3</t>
  </si>
  <si>
    <t>bla</t>
  </si>
  <si>
    <t>Collateral</t>
  </si>
  <si>
    <t>stable</t>
  </si>
  <si>
    <t>stableold</t>
  </si>
  <si>
    <t>stables</t>
  </si>
  <si>
    <t>USDT</t>
  </si>
  <si>
    <t>Total Coin Amount</t>
  </si>
  <si>
    <t>Total Earnings</t>
  </si>
  <si>
    <t>APY</t>
  </si>
  <si>
    <t>WBTC</t>
  </si>
  <si>
    <t>HBAR</t>
  </si>
  <si>
    <t>Bitfinex</t>
  </si>
  <si>
    <t>FTX -24 Hours perior to the report (Download CSV)</t>
  </si>
  <si>
    <t>Token</t>
  </si>
  <si>
    <t>Annualized</t>
  </si>
  <si>
    <t>coin</t>
  </si>
  <si>
    <t>rate</t>
  </si>
  <si>
    <t>ALGO</t>
  </si>
  <si>
    <t>BCHN</t>
  </si>
  <si>
    <t>LEO</t>
  </si>
  <si>
    <t>Deribit - API</t>
  </si>
  <si>
    <t>FTX - Directional Trading 2</t>
  </si>
  <si>
    <t>Stable Coins</t>
  </si>
  <si>
    <t>POLIS</t>
  </si>
  <si>
    <t>RAY</t>
  </si>
  <si>
    <t>BOBA</t>
  </si>
  <si>
    <t>ALICE</t>
  </si>
  <si>
    <t>LRC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</si>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</sst>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m/dd/yyyy"/>
    <numFmt numFmtId="166" formatCode="mm/dd/yy"/>
    <numFmt numFmtId="167" formatCode="0.000%"/>
    <numFmt numFmtId="168" formatCode="&quot;$&quot;#,##0"/>
  </numFmts>
  <fonts count="21">
    <font>
      <sz val="11"/>
      <color theme="1"/>
      <name val="Arial"/>
    </font>
    <font>
      <b/>
      <sz val="11"/>
      <color theme="1"/>
      <name val="Calibri"/>
      <family val="2"/>
    </font>
    <font>
      <sz val="11"/>
      <color rgb="FF222222"/>
      <name val="Roboto"/>
    </font>
    <font>
      <sz val="11"/>
      <color theme="1"/>
      <name val="Calibri"/>
      <family val="2"/>
    </font>
    <font>
      <sz val="11"/>
      <color rgb="FF000000"/>
      <name val="Inconsolata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Roboto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rgb="FF000000"/>
      <name val="Inter"/>
    </font>
    <font>
      <sz val="12"/>
      <color rgb="FF000000"/>
      <name val="Inter"/>
    </font>
    <font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  <fill>
      <patternFill patternType="solid">
        <fgColor rgb="FFFF9900"/>
        <bgColor rgb="FFFF9900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A4C2F4"/>
        <bgColor rgb="FFA4C2F4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0" fillId="0" borderId="0" applyFont="0" applyFill="0" applyBorder="0" applyAlignment="0" applyProtection="0"/>
  </cellStyleXfs>
  <cellXfs count="71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2" borderId="0" xfId="0" applyFont="1" applyFill="1" applyAlignment="1"/>
    <xf numFmtId="0" fontId="1" fillId="3" borderId="1" xfId="0" applyFont="1" applyFill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/>
    <xf numFmtId="0" fontId="3" fillId="0" borderId="0" xfId="0" applyFont="1"/>
    <xf numFmtId="0" fontId="3" fillId="0" borderId="0" xfId="0" applyFont="1"/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9" fontId="3" fillId="0" borderId="0" xfId="0" applyNumberFormat="1" applyFont="1" applyAlignment="1"/>
    <xf numFmtId="10" fontId="3" fillId="0" borderId="0" xfId="0" applyNumberFormat="1" applyFont="1" applyAlignment="1"/>
    <xf numFmtId="10" fontId="5" fillId="0" borderId="0" xfId="0" applyNumberFormat="1" applyFont="1" applyAlignment="1">
      <alignment horizontal="right"/>
    </xf>
    <xf numFmtId="10" fontId="4" fillId="2" borderId="0" xfId="0" applyNumberFormat="1" applyFont="1" applyFill="1" applyAlignment="1"/>
    <xf numFmtId="0" fontId="6" fillId="0" borderId="0" xfId="0" applyFont="1" applyAlignment="1"/>
    <xf numFmtId="11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1" fillId="7" borderId="0" xfId="0" applyFont="1" applyFill="1" applyAlignment="1">
      <alignment horizontal="center" vertical="top"/>
    </xf>
    <xf numFmtId="0" fontId="1" fillId="7" borderId="0" xfId="0" applyFont="1" applyFill="1" applyAlignment="1">
      <alignment horizontal="center" vertical="top"/>
    </xf>
    <xf numFmtId="0" fontId="8" fillId="2" borderId="0" xfId="0" applyFont="1" applyFill="1" applyAlignment="1"/>
    <xf numFmtId="4" fontId="3" fillId="0" borderId="0" xfId="0" applyNumberFormat="1" applyFont="1" applyAlignment="1"/>
    <xf numFmtId="0" fontId="9" fillId="2" borderId="0" xfId="0" applyFont="1" applyFill="1" applyAlignment="1">
      <alignment horizontal="left"/>
    </xf>
    <xf numFmtId="0" fontId="10" fillId="0" borderId="0" xfId="0" applyFont="1" applyAlignment="1"/>
    <xf numFmtId="0" fontId="10" fillId="0" borderId="0" xfId="0" applyFont="1"/>
    <xf numFmtId="10" fontId="3" fillId="0" borderId="0" xfId="0" applyNumberFormat="1" applyFont="1"/>
    <xf numFmtId="0" fontId="11" fillId="0" borderId="0" xfId="0" applyFont="1" applyAlignment="1"/>
    <xf numFmtId="165" fontId="3" fillId="0" borderId="0" xfId="0" applyNumberFormat="1" applyFont="1" applyAlignment="1"/>
    <xf numFmtId="11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10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Alignment="1"/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8" borderId="0" xfId="0" applyFont="1" applyFill="1" applyAlignment="1"/>
    <xf numFmtId="0" fontId="13" fillId="9" borderId="0" xfId="0" applyFont="1" applyFill="1" applyAlignment="1">
      <alignment horizontal="center" wrapText="1"/>
    </xf>
    <xf numFmtId="167" fontId="13" fillId="10" borderId="0" xfId="0" applyNumberFormat="1" applyFont="1" applyFill="1" applyAlignment="1">
      <alignment horizontal="center" wrapText="1"/>
    </xf>
    <xf numFmtId="0" fontId="13" fillId="0" borderId="0" xfId="0" applyFont="1" applyAlignment="1">
      <alignment horizontal="center" wrapText="1"/>
    </xf>
    <xf numFmtId="0" fontId="7" fillId="10" borderId="0" xfId="0" applyFont="1" applyFill="1" applyAlignment="1"/>
    <xf numFmtId="11" fontId="7" fillId="10" borderId="0" xfId="0" applyNumberFormat="1" applyFont="1" applyFill="1" applyAlignment="1">
      <alignment horizontal="right"/>
    </xf>
    <xf numFmtId="10" fontId="14" fillId="2" borderId="0" xfId="0" applyNumberFormat="1" applyFont="1" applyFill="1" applyAlignment="1">
      <alignment horizontal="center"/>
    </xf>
    <xf numFmtId="0" fontId="7" fillId="10" borderId="0" xfId="0" applyFont="1" applyFill="1" applyAlignment="1">
      <alignment horizontal="right"/>
    </xf>
    <xf numFmtId="0" fontId="13" fillId="11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168" fontId="3" fillId="0" borderId="0" xfId="0" applyNumberFormat="1" applyFont="1"/>
    <xf numFmtId="9" fontId="3" fillId="0" borderId="0" xfId="0" applyNumberFormat="1" applyFont="1"/>
    <xf numFmtId="0" fontId="3" fillId="12" borderId="0" xfId="0" applyFont="1" applyFill="1"/>
    <xf numFmtId="14" fontId="3" fillId="0" borderId="0" xfId="0" applyNumberFormat="1" applyFont="1"/>
    <xf numFmtId="0" fontId="4" fillId="12" borderId="0" xfId="0" applyFont="1" applyFill="1"/>
    <xf numFmtId="0" fontId="4" fillId="2" borderId="0" xfId="0" applyFont="1" applyFill="1"/>
    <xf numFmtId="0" fontId="15" fillId="0" borderId="0" xfId="0" applyFont="1" applyAlignment="1"/>
    <xf numFmtId="3" fontId="16" fillId="0" borderId="0" xfId="0" applyNumberFormat="1" applyFont="1" applyAlignment="1"/>
    <xf numFmtId="0" fontId="17" fillId="0" borderId="0" xfId="0" applyFont="1"/>
    <xf numFmtId="3" fontId="18" fillId="2" borderId="0" xfId="0" applyNumberFormat="1" applyFont="1" applyFill="1" applyAlignment="1">
      <alignment horizontal="left"/>
    </xf>
    <xf numFmtId="0" fontId="19" fillId="2" borderId="0" xfId="0" applyFont="1" applyFill="1" applyAlignment="1">
      <alignment horizontal="center"/>
    </xf>
    <xf numFmtId="0" fontId="18" fillId="2" borderId="0" xfId="0" applyFont="1" applyFill="1" applyAlignment="1">
      <alignment horizontal="left"/>
    </xf>
    <xf numFmtId="4" fontId="18" fillId="2" borderId="0" xfId="0" applyNumberFormat="1" applyFont="1" applyFill="1" applyAlignment="1">
      <alignment horizontal="left"/>
    </xf>
    <xf numFmtId="3" fontId="3" fillId="0" borderId="0" xfId="0" applyNumberFormat="1" applyFont="1" applyAlignment="1"/>
    <xf numFmtId="3" fontId="3" fillId="0" borderId="0" xfId="0" applyNumberFormat="1" applyFont="1"/>
    <xf numFmtId="0" fontId="6" fillId="0" borderId="1" xfId="0" applyFont="1" applyBorder="1" applyAlignment="1"/>
    <xf numFmtId="0" fontId="6" fillId="0" borderId="0" xfId="0" applyFont="1" applyAlignment="1"/>
    <xf numFmtId="9" fontId="3" fillId="0" borderId="0" xfId="1" applyFont="1" applyAlignment="1"/>
    <xf numFmtId="0" fontId="10" fillId="0" borderId="0" xfId="0" applyFont="1" applyAlignment="1">
      <alignment horizontal="center"/>
    </xf>
    <xf numFmtId="0" fontId="0" fillId="0" borderId="0" xfId="0" applyFont="1" applyAlignment="1"/>
    <xf numFmtId="166" fontId="10" fillId="4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J1016"/>
  <sheetViews>
    <sheetView tabSelected="1" workbookViewId="0">
      <pane xSplit="1" ySplit="5" topLeftCell="BL6" activePane="bottomRight" state="frozen"/>
      <selection pane="topRight" activeCell="B1" sqref="B1"/>
      <selection pane="bottomLeft" activeCell="A6" sqref="A6"/>
      <selection pane="bottomRight" activeCell="BS24" sqref="BS24"/>
    </sheetView>
  </sheetViews>
  <sheetFormatPr baseColWidth="10" defaultColWidth="12.6640625" defaultRowHeight="15" customHeight="1"/>
  <cols>
    <col min="1" max="1" width="10.1640625" customWidth="1"/>
    <col min="2" max="2" width="12.83203125" customWidth="1"/>
    <col min="3" max="3" width="13.1640625" customWidth="1"/>
    <col min="4" max="4" width="19.1640625" customWidth="1"/>
    <col min="5" max="6" width="9.6640625" customWidth="1"/>
    <col min="7" max="7" width="10.6640625" customWidth="1"/>
    <col min="8" max="8" width="8.1640625" customWidth="1"/>
    <col min="9" max="9" width="8.6640625" customWidth="1"/>
    <col min="10" max="10" width="13.83203125" customWidth="1"/>
    <col min="11" max="12" width="9.1640625" customWidth="1"/>
    <col min="13" max="13" width="8.1640625" customWidth="1"/>
    <col min="14" max="14" width="6.33203125" customWidth="1"/>
    <col min="15" max="15" width="17.83203125" customWidth="1"/>
    <col min="16" max="17" width="14.6640625" customWidth="1"/>
    <col min="18" max="21" width="7.6640625" customWidth="1"/>
    <col min="22" max="22" width="29.1640625" customWidth="1"/>
    <col min="23" max="26" width="7.6640625" customWidth="1"/>
    <col min="27" max="27" width="8.5" customWidth="1"/>
    <col min="28" max="28" width="8.6640625" customWidth="1"/>
    <col min="29" max="29" width="13.6640625" customWidth="1"/>
    <col min="30" max="30" width="12.33203125" customWidth="1"/>
    <col min="31" max="31" width="9.33203125" customWidth="1"/>
    <col min="32" max="32" width="12.1640625" customWidth="1"/>
    <col min="33" max="33" width="15.6640625" customWidth="1"/>
    <col min="34" max="34" width="18.33203125" customWidth="1"/>
    <col min="35" max="35" width="11.33203125" customWidth="1"/>
    <col min="36" max="36" width="12.33203125" customWidth="1"/>
    <col min="37" max="37" width="11.83203125" customWidth="1"/>
    <col min="38" max="38" width="11.6640625" customWidth="1"/>
    <col min="39" max="39" width="10.1640625" customWidth="1"/>
    <col min="40" max="40" width="10" customWidth="1"/>
    <col min="41" max="41" width="13" customWidth="1"/>
    <col min="42" max="42" width="12.1640625" customWidth="1"/>
    <col min="43" max="43" width="11.5" customWidth="1"/>
    <col min="44" max="44" width="6.33203125" customWidth="1"/>
    <col min="45" max="45" width="12.6640625" customWidth="1"/>
    <col min="46" max="46" width="11.6640625" customWidth="1"/>
    <col min="47" max="47" width="7.83203125" customWidth="1"/>
    <col min="48" max="48" width="12" customWidth="1"/>
    <col min="49" max="49" width="8" customWidth="1"/>
    <col min="50" max="50" width="6.33203125" customWidth="1"/>
    <col min="51" max="51" width="5.5" customWidth="1"/>
    <col min="52" max="52" width="16.33203125" customWidth="1"/>
    <col min="53" max="53" width="22.1640625" customWidth="1"/>
    <col min="54" max="54" width="6.83203125" customWidth="1"/>
    <col min="55" max="56" width="19.6640625" customWidth="1"/>
    <col min="57" max="57" width="14.6640625" customWidth="1"/>
    <col min="58" max="59" width="9.6640625" customWidth="1"/>
    <col min="60" max="60" width="11.83203125" customWidth="1"/>
    <col min="61" max="61" width="16.1640625" customWidth="1"/>
    <col min="62" max="62" width="13.1640625" customWidth="1"/>
    <col min="63" max="63" width="19.5" customWidth="1"/>
    <col min="64" max="64" width="15.5" customWidth="1"/>
    <col min="65" max="65" width="17" customWidth="1"/>
    <col min="66" max="66" width="15.1640625" customWidth="1"/>
    <col min="67" max="67" width="15.5" customWidth="1"/>
    <col min="68" max="68" width="16.33203125" customWidth="1"/>
    <col min="69" max="70" width="14.1640625" customWidth="1"/>
    <col min="71" max="71" width="21.5" customWidth="1"/>
    <col min="72" max="72" width="15.6640625" customWidth="1"/>
    <col min="73" max="73" width="16.1640625" customWidth="1"/>
    <col min="74" max="74" width="14" customWidth="1"/>
    <col min="75" max="75" width="15.6640625" customWidth="1"/>
    <col min="76" max="76" width="17.5" customWidth="1"/>
    <col min="77" max="77" width="16.33203125" customWidth="1"/>
    <col min="78" max="78" width="17" customWidth="1"/>
    <col min="79" max="79" width="16.5" customWidth="1"/>
    <col min="80" max="80" width="16.1640625" customWidth="1"/>
    <col min="81" max="81" width="16.6640625" customWidth="1"/>
    <col min="82" max="82" width="15.5" customWidth="1"/>
    <col min="83" max="83" width="16.1640625" customWidth="1"/>
    <col min="84" max="84" width="17.1640625" customWidth="1"/>
    <col min="85" max="85" width="15" customWidth="1"/>
    <col min="86" max="86" width="18.6640625" customWidth="1"/>
    <col min="87" max="87" width="14.1640625" customWidth="1"/>
    <col min="88" max="88" width="15.33203125" customWidth="1"/>
    <col min="89" max="89" width="23.1640625" customWidth="1"/>
    <col min="90" max="90" width="14.6640625" customWidth="1"/>
    <col min="91" max="91" width="14" customWidth="1"/>
    <col min="92" max="92" width="14.6640625" customWidth="1"/>
    <col min="93" max="93" width="20" customWidth="1"/>
    <col min="94" max="94" width="15.1640625" customWidth="1"/>
    <col min="95" max="95" width="16.1640625" customWidth="1"/>
    <col min="96" max="96" width="15" customWidth="1"/>
    <col min="97" max="97" width="25.5" customWidth="1"/>
    <col min="98" max="98" width="26.33203125" customWidth="1"/>
    <col min="99" max="99" width="22" customWidth="1"/>
    <col min="100" max="100" width="12" customWidth="1"/>
    <col min="101" max="101" width="16" customWidth="1"/>
    <col min="102" max="102" width="10" customWidth="1"/>
    <col min="103" max="103" width="14.1640625" customWidth="1"/>
    <col min="104" max="104" width="14.83203125" customWidth="1"/>
    <col min="105" max="105" width="15.33203125" customWidth="1"/>
    <col min="106" max="126" width="19.1640625" customWidth="1"/>
    <col min="127" max="127" width="29.1640625" customWidth="1"/>
    <col min="128" max="140" width="19.1640625" customWidth="1"/>
  </cols>
  <sheetData>
    <row r="1" spans="1:140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4" t="s">
        <v>30</v>
      </c>
      <c r="AF1" s="1" t="s">
        <v>31</v>
      </c>
      <c r="AG1" s="2">
        <v>2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4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2" t="s">
        <v>64</v>
      </c>
      <c r="BO1" s="1" t="s">
        <v>65</v>
      </c>
      <c r="BP1" s="2" t="s">
        <v>66</v>
      </c>
      <c r="BQ1" s="1" t="s">
        <v>67</v>
      </c>
      <c r="BR1" s="1" t="s">
        <v>68</v>
      </c>
      <c r="BS1" s="2" t="s">
        <v>69</v>
      </c>
      <c r="BT1" s="1" t="s">
        <v>70</v>
      </c>
      <c r="BU1" s="1" t="s">
        <v>71</v>
      </c>
      <c r="BV1" s="2" t="s">
        <v>72</v>
      </c>
      <c r="BW1" s="1" t="s">
        <v>73</v>
      </c>
      <c r="BX1" s="2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2" t="s">
        <v>79</v>
      </c>
      <c r="CD1" s="1" t="s">
        <v>80</v>
      </c>
      <c r="CE1" s="2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2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5" t="s">
        <v>105</v>
      </c>
      <c r="DD1" s="5" t="s">
        <v>106</v>
      </c>
      <c r="DE1" s="5" t="s">
        <v>107</v>
      </c>
      <c r="DF1" s="5" t="s">
        <v>108</v>
      </c>
      <c r="DG1" s="5" t="s">
        <v>109</v>
      </c>
      <c r="DH1" s="5" t="s">
        <v>110</v>
      </c>
      <c r="DI1" s="5" t="s">
        <v>111</v>
      </c>
      <c r="DJ1" s="5" t="s">
        <v>112</v>
      </c>
      <c r="DK1" s="5" t="s">
        <v>113</v>
      </c>
      <c r="DL1" s="5" t="s">
        <v>114</v>
      </c>
      <c r="DM1" s="6" t="s">
        <v>115</v>
      </c>
      <c r="DN1" s="6" t="s">
        <v>116</v>
      </c>
      <c r="DO1" s="6" t="s">
        <v>117</v>
      </c>
      <c r="DP1" s="6" t="s">
        <v>118</v>
      </c>
      <c r="DQ1" s="6" t="s">
        <v>119</v>
      </c>
      <c r="DR1" s="6" t="s">
        <v>120</v>
      </c>
      <c r="DS1" s="5" t="s">
        <v>121</v>
      </c>
      <c r="DT1" s="5" t="s">
        <v>122</v>
      </c>
      <c r="DU1" s="5" t="s">
        <v>123</v>
      </c>
      <c r="DV1" s="5" t="s">
        <v>124</v>
      </c>
      <c r="DW1" s="5" t="s">
        <v>125</v>
      </c>
      <c r="DX1" s="5" t="s">
        <v>126</v>
      </c>
      <c r="DY1" s="5" t="s">
        <v>127</v>
      </c>
      <c r="DZ1" s="5" t="s">
        <v>128</v>
      </c>
      <c r="EA1" s="5" t="s">
        <v>129</v>
      </c>
      <c r="EB1" s="5" t="s">
        <v>130</v>
      </c>
      <c r="EC1" s="5" t="s">
        <v>131</v>
      </c>
      <c r="ED1" s="5" t="s">
        <v>132</v>
      </c>
      <c r="EE1" s="5" t="s">
        <v>133</v>
      </c>
      <c r="EF1" s="5" t="s">
        <v>134</v>
      </c>
      <c r="EG1" s="5" t="s">
        <v>135</v>
      </c>
      <c r="EH1" s="5" t="s">
        <v>136</v>
      </c>
      <c r="EI1" s="5" t="s">
        <v>137</v>
      </c>
      <c r="EJ1" s="5" t="s">
        <v>138</v>
      </c>
    </row>
    <row r="2" spans="1:140">
      <c r="A2" s="7" t="s">
        <v>139</v>
      </c>
      <c r="B2" s="7" t="s">
        <v>140</v>
      </c>
      <c r="C2" s="7" t="s">
        <v>140</v>
      </c>
      <c r="D2" s="7" t="s">
        <v>140</v>
      </c>
      <c r="E2" s="7" t="s">
        <v>140</v>
      </c>
      <c r="F2" s="7" t="s">
        <v>140</v>
      </c>
      <c r="G2" s="7" t="s">
        <v>6</v>
      </c>
      <c r="H2" s="7" t="s">
        <v>7</v>
      </c>
      <c r="I2" s="7" t="s">
        <v>141</v>
      </c>
      <c r="J2" s="7" t="s">
        <v>9</v>
      </c>
      <c r="K2" s="7" t="s">
        <v>140</v>
      </c>
      <c r="L2" s="7" t="s">
        <v>142</v>
      </c>
      <c r="M2" s="7" t="s">
        <v>143</v>
      </c>
      <c r="N2" s="7" t="s">
        <v>143</v>
      </c>
      <c r="O2" s="7" t="s">
        <v>144</v>
      </c>
      <c r="P2" s="7" t="s">
        <v>144</v>
      </c>
      <c r="Q2" s="7" t="s">
        <v>144</v>
      </c>
      <c r="R2" s="7" t="s">
        <v>145</v>
      </c>
      <c r="S2" s="7" t="s">
        <v>144</v>
      </c>
      <c r="T2" s="7" t="s">
        <v>144</v>
      </c>
      <c r="U2" s="7" t="s">
        <v>144</v>
      </c>
      <c r="V2" s="7" t="s">
        <v>144</v>
      </c>
      <c r="W2" s="7" t="s">
        <v>144</v>
      </c>
      <c r="X2" s="7" t="s">
        <v>144</v>
      </c>
      <c r="Y2" s="7" t="s">
        <v>140</v>
      </c>
      <c r="Z2" s="7" t="s">
        <v>144</v>
      </c>
      <c r="AA2" s="7" t="s">
        <v>144</v>
      </c>
      <c r="AB2" s="7" t="s">
        <v>144</v>
      </c>
      <c r="AC2" s="7" t="s">
        <v>144</v>
      </c>
      <c r="AD2" s="7" t="s">
        <v>144</v>
      </c>
      <c r="AE2" s="7" t="s">
        <v>144</v>
      </c>
      <c r="AF2" s="7" t="s">
        <v>144</v>
      </c>
      <c r="AG2" s="7" t="s">
        <v>144</v>
      </c>
      <c r="AH2" s="7" t="s">
        <v>144</v>
      </c>
      <c r="AI2" s="7" t="s">
        <v>144</v>
      </c>
      <c r="AJ2" s="7" t="s">
        <v>144</v>
      </c>
      <c r="AK2" s="7" t="s">
        <v>144</v>
      </c>
      <c r="AL2" s="7" t="s">
        <v>144</v>
      </c>
      <c r="AM2" s="7" t="s">
        <v>144</v>
      </c>
      <c r="AN2" s="7" t="s">
        <v>146</v>
      </c>
      <c r="AO2" s="7" t="s">
        <v>146</v>
      </c>
      <c r="AP2" s="7" t="s">
        <v>146</v>
      </c>
      <c r="AQ2" s="7" t="s">
        <v>146</v>
      </c>
      <c r="AR2" s="7" t="s">
        <v>42</v>
      </c>
      <c r="AS2" s="7" t="s">
        <v>147</v>
      </c>
      <c r="AT2" s="7" t="s">
        <v>148</v>
      </c>
      <c r="AU2" s="7" t="s">
        <v>144</v>
      </c>
      <c r="AV2" s="7" t="s">
        <v>144</v>
      </c>
      <c r="AW2" s="7" t="s">
        <v>144</v>
      </c>
      <c r="AX2" s="7" t="s">
        <v>144</v>
      </c>
      <c r="AY2" s="7" t="s">
        <v>144</v>
      </c>
      <c r="AZ2" s="7" t="s">
        <v>145</v>
      </c>
      <c r="BA2" s="7" t="s">
        <v>145</v>
      </c>
      <c r="BB2" s="7" t="s">
        <v>145</v>
      </c>
      <c r="BC2" s="8" t="s">
        <v>9</v>
      </c>
      <c r="BD2" s="7" t="s">
        <v>145</v>
      </c>
      <c r="BE2" s="7" t="s">
        <v>149</v>
      </c>
      <c r="BF2" s="7" t="s">
        <v>145</v>
      </c>
      <c r="BG2" s="7" t="s">
        <v>145</v>
      </c>
      <c r="BH2" s="7" t="s">
        <v>145</v>
      </c>
      <c r="BI2" s="7" t="s">
        <v>145</v>
      </c>
      <c r="BJ2" s="7" t="s">
        <v>145</v>
      </c>
      <c r="BK2" s="7" t="s">
        <v>145</v>
      </c>
      <c r="BL2" s="7" t="s">
        <v>145</v>
      </c>
      <c r="BM2" s="8" t="s">
        <v>9</v>
      </c>
      <c r="BN2" s="7" t="s">
        <v>145</v>
      </c>
      <c r="BO2" s="7" t="s">
        <v>145</v>
      </c>
      <c r="BP2" s="7" t="s">
        <v>145</v>
      </c>
      <c r="BQ2" s="7" t="s">
        <v>145</v>
      </c>
      <c r="BR2" s="7" t="s">
        <v>145</v>
      </c>
      <c r="BS2" s="7" t="s">
        <v>145</v>
      </c>
      <c r="BT2" s="7" t="s">
        <v>145</v>
      </c>
      <c r="BU2" s="7" t="s">
        <v>145</v>
      </c>
      <c r="BV2" s="7" t="s">
        <v>145</v>
      </c>
      <c r="BW2" s="7" t="s">
        <v>145</v>
      </c>
      <c r="BX2" s="7" t="s">
        <v>145</v>
      </c>
      <c r="BY2" s="7" t="s">
        <v>145</v>
      </c>
      <c r="BZ2" s="7" t="s">
        <v>145</v>
      </c>
      <c r="CA2" s="7" t="s">
        <v>145</v>
      </c>
      <c r="CB2" s="7" t="s">
        <v>145</v>
      </c>
      <c r="CC2" s="7" t="s">
        <v>145</v>
      </c>
      <c r="CD2" s="7" t="s">
        <v>145</v>
      </c>
      <c r="CE2" s="7" t="s">
        <v>145</v>
      </c>
      <c r="CF2" s="7" t="s">
        <v>145</v>
      </c>
      <c r="CG2" s="7" t="s">
        <v>145</v>
      </c>
      <c r="CH2" s="7" t="s">
        <v>145</v>
      </c>
      <c r="CI2" s="7" t="s">
        <v>145</v>
      </c>
      <c r="CJ2" s="7" t="s">
        <v>145</v>
      </c>
      <c r="CK2" s="7" t="s">
        <v>145</v>
      </c>
      <c r="CL2" s="7" t="s">
        <v>145</v>
      </c>
      <c r="CM2" s="7" t="s">
        <v>145</v>
      </c>
      <c r="CN2" s="7" t="s">
        <v>145</v>
      </c>
      <c r="CO2" s="7" t="s">
        <v>146</v>
      </c>
      <c r="CP2" s="7" t="s">
        <v>145</v>
      </c>
      <c r="CQ2" s="7" t="s">
        <v>145</v>
      </c>
      <c r="CR2" s="7" t="s">
        <v>145</v>
      </c>
      <c r="CS2" s="7" t="s">
        <v>145</v>
      </c>
      <c r="CT2" s="7" t="s">
        <v>145</v>
      </c>
      <c r="CU2" s="7" t="s">
        <v>145</v>
      </c>
      <c r="CV2" s="7" t="s">
        <v>145</v>
      </c>
      <c r="CW2" s="7" t="s">
        <v>145</v>
      </c>
      <c r="CX2" s="7" t="s">
        <v>145</v>
      </c>
      <c r="CY2" s="7" t="s">
        <v>145</v>
      </c>
      <c r="CZ2" s="7" t="s">
        <v>145</v>
      </c>
      <c r="DA2" s="7" t="s">
        <v>145</v>
      </c>
      <c r="DB2" s="7" t="s">
        <v>145</v>
      </c>
      <c r="DC2" s="7" t="s">
        <v>144</v>
      </c>
      <c r="DD2" s="7" t="s">
        <v>145</v>
      </c>
      <c r="DE2" s="7" t="s">
        <v>145</v>
      </c>
      <c r="DF2" s="7" t="s">
        <v>145</v>
      </c>
      <c r="DG2" s="7" t="s">
        <v>145</v>
      </c>
      <c r="DH2" s="7" t="s">
        <v>145</v>
      </c>
      <c r="DI2" s="7" t="s">
        <v>145</v>
      </c>
      <c r="DJ2" s="7" t="s">
        <v>145</v>
      </c>
      <c r="DK2" s="7" t="s">
        <v>145</v>
      </c>
      <c r="DL2" s="7" t="s">
        <v>146</v>
      </c>
      <c r="DM2" s="7" t="s">
        <v>145</v>
      </c>
      <c r="DN2" s="7" t="s">
        <v>145</v>
      </c>
      <c r="DO2" s="7" t="s">
        <v>145</v>
      </c>
      <c r="DP2" s="7" t="s">
        <v>145</v>
      </c>
      <c r="DQ2" s="7" t="s">
        <v>145</v>
      </c>
      <c r="DR2" s="7" t="s">
        <v>145</v>
      </c>
      <c r="DS2" s="7" t="s">
        <v>145</v>
      </c>
      <c r="DT2" s="7" t="s">
        <v>146</v>
      </c>
      <c r="DU2" s="7" t="s">
        <v>145</v>
      </c>
      <c r="DV2" s="7" t="s">
        <v>150</v>
      </c>
      <c r="DW2" s="7" t="s">
        <v>150</v>
      </c>
      <c r="DX2" s="7" t="s">
        <v>151</v>
      </c>
      <c r="DY2" s="7" t="s">
        <v>150</v>
      </c>
      <c r="DZ2" s="7" t="s">
        <v>150</v>
      </c>
      <c r="EA2" s="7" t="s">
        <v>150</v>
      </c>
      <c r="EB2" s="7" t="s">
        <v>150</v>
      </c>
      <c r="EC2" s="7" t="s">
        <v>150</v>
      </c>
      <c r="ED2" s="7" t="s">
        <v>150</v>
      </c>
      <c r="EE2" s="7" t="s">
        <v>150</v>
      </c>
      <c r="EF2" s="7" t="s">
        <v>150</v>
      </c>
      <c r="EG2" s="7" t="s">
        <v>152</v>
      </c>
      <c r="EH2" s="7" t="s">
        <v>152</v>
      </c>
      <c r="EI2" s="7" t="s">
        <v>150</v>
      </c>
      <c r="EJ2" s="7" t="s">
        <v>150</v>
      </c>
    </row>
    <row r="3" spans="1:140">
      <c r="A3" s="9" t="s">
        <v>153</v>
      </c>
      <c r="B3" s="9" t="s">
        <v>154</v>
      </c>
      <c r="C3" s="9" t="s">
        <v>154</v>
      </c>
      <c r="D3" s="9" t="s">
        <v>154</v>
      </c>
      <c r="E3" s="9" t="s">
        <v>154</v>
      </c>
      <c r="F3" s="9" t="s">
        <v>154</v>
      </c>
      <c r="G3" s="9" t="s">
        <v>154</v>
      </c>
      <c r="H3" s="9" t="s">
        <v>154</v>
      </c>
      <c r="I3" s="9" t="s">
        <v>155</v>
      </c>
      <c r="J3" s="9" t="s">
        <v>156</v>
      </c>
      <c r="K3" s="9" t="s">
        <v>156</v>
      </c>
      <c r="L3" s="9" t="s">
        <v>156</v>
      </c>
      <c r="M3" s="9" t="s">
        <v>156</v>
      </c>
      <c r="N3" s="9" t="s">
        <v>156</v>
      </c>
      <c r="O3" s="9" t="s">
        <v>155</v>
      </c>
      <c r="P3" s="9" t="s">
        <v>155</v>
      </c>
      <c r="Q3" s="9" t="s">
        <v>155</v>
      </c>
      <c r="R3" s="10">
        <v>2</v>
      </c>
      <c r="S3" s="9" t="s">
        <v>155</v>
      </c>
      <c r="T3" s="9" t="s">
        <v>155</v>
      </c>
      <c r="U3" s="9" t="s">
        <v>155</v>
      </c>
      <c r="V3" s="9" t="s">
        <v>155</v>
      </c>
      <c r="W3" s="9" t="s">
        <v>155</v>
      </c>
      <c r="X3" s="9" t="s">
        <v>155</v>
      </c>
      <c r="Y3" s="7">
        <v>2</v>
      </c>
      <c r="Z3" s="9" t="s">
        <v>155</v>
      </c>
      <c r="AA3" s="9" t="s">
        <v>155</v>
      </c>
      <c r="AB3" s="9" t="s">
        <v>155</v>
      </c>
      <c r="AC3" s="9" t="s">
        <v>155</v>
      </c>
      <c r="AD3" s="7">
        <v>2</v>
      </c>
      <c r="AE3" s="7">
        <v>2</v>
      </c>
      <c r="AF3" s="9" t="s">
        <v>155</v>
      </c>
      <c r="AG3" s="9" t="s">
        <v>155</v>
      </c>
      <c r="AH3" s="9" t="s">
        <v>155</v>
      </c>
      <c r="AI3" s="9" t="s">
        <v>155</v>
      </c>
      <c r="AJ3" s="9" t="s">
        <v>157</v>
      </c>
      <c r="AK3" s="9" t="s">
        <v>157</v>
      </c>
      <c r="AL3" s="9" t="s">
        <v>156</v>
      </c>
      <c r="AM3" s="9" t="s">
        <v>156</v>
      </c>
      <c r="AN3" s="9" t="s">
        <v>156</v>
      </c>
      <c r="AO3" s="9" t="s">
        <v>156</v>
      </c>
      <c r="AP3" s="7">
        <v>2</v>
      </c>
      <c r="AQ3" s="9" t="s">
        <v>156</v>
      </c>
      <c r="AR3" s="9" t="s">
        <v>156</v>
      </c>
      <c r="AS3" s="9" t="s">
        <v>155</v>
      </c>
      <c r="AT3" s="9" t="s">
        <v>156</v>
      </c>
      <c r="AU3" s="7">
        <v>4</v>
      </c>
      <c r="AV3" s="9" t="s">
        <v>156</v>
      </c>
      <c r="AW3" s="9" t="s">
        <v>156</v>
      </c>
      <c r="AX3" s="9" t="s">
        <v>155</v>
      </c>
      <c r="AY3" s="9" t="s">
        <v>156</v>
      </c>
      <c r="AZ3" s="9" t="s">
        <v>157</v>
      </c>
      <c r="BA3" s="9" t="s">
        <v>156</v>
      </c>
      <c r="BB3" s="9" t="s">
        <v>157</v>
      </c>
      <c r="BC3" s="9" t="s">
        <v>156</v>
      </c>
      <c r="BD3" s="9" t="s">
        <v>157</v>
      </c>
      <c r="BE3" s="9" t="s">
        <v>154</v>
      </c>
      <c r="BF3" s="9" t="s">
        <v>156</v>
      </c>
      <c r="BG3" s="9" t="s">
        <v>156</v>
      </c>
      <c r="BH3" s="9" t="s">
        <v>157</v>
      </c>
      <c r="BI3" s="9" t="s">
        <v>157</v>
      </c>
      <c r="BJ3" s="9" t="s">
        <v>156</v>
      </c>
      <c r="BK3" s="9" t="s">
        <v>157</v>
      </c>
      <c r="BL3" s="9" t="s">
        <v>157</v>
      </c>
      <c r="BM3" s="9" t="s">
        <v>155</v>
      </c>
      <c r="BN3" s="9" t="s">
        <v>157</v>
      </c>
      <c r="BO3" s="9" t="s">
        <v>157</v>
      </c>
      <c r="BP3" s="9" t="s">
        <v>157</v>
      </c>
      <c r="BQ3" s="9" t="s">
        <v>157</v>
      </c>
      <c r="BR3" s="9" t="s">
        <v>157</v>
      </c>
      <c r="BS3" s="9" t="s">
        <v>157</v>
      </c>
      <c r="BT3" s="9" t="s">
        <v>157</v>
      </c>
      <c r="BU3" s="9" t="s">
        <v>157</v>
      </c>
      <c r="BV3" s="11">
        <v>5</v>
      </c>
      <c r="BW3" s="9" t="s">
        <v>157</v>
      </c>
      <c r="BX3" s="11">
        <v>3</v>
      </c>
      <c r="BY3" s="9" t="s">
        <v>157</v>
      </c>
      <c r="BZ3" s="9" t="s">
        <v>157</v>
      </c>
      <c r="CA3" s="9" t="s">
        <v>157</v>
      </c>
      <c r="CB3" s="9" t="s">
        <v>157</v>
      </c>
      <c r="CC3" s="7">
        <v>4</v>
      </c>
      <c r="CD3" s="9" t="s">
        <v>157</v>
      </c>
      <c r="CE3" s="9" t="s">
        <v>157</v>
      </c>
      <c r="CF3" s="9" t="s">
        <v>157</v>
      </c>
      <c r="CG3" s="9" t="s">
        <v>157</v>
      </c>
      <c r="CH3" s="9" t="s">
        <v>157</v>
      </c>
      <c r="CI3" s="9" t="s">
        <v>157</v>
      </c>
      <c r="CJ3" s="9" t="s">
        <v>157</v>
      </c>
      <c r="CK3" s="7">
        <v>4</v>
      </c>
      <c r="CL3" s="9" t="s">
        <v>157</v>
      </c>
      <c r="CM3" s="9" t="s">
        <v>157</v>
      </c>
      <c r="CN3" s="9" t="s">
        <v>157</v>
      </c>
      <c r="CO3" s="9" t="s">
        <v>156</v>
      </c>
      <c r="CP3" s="9" t="s">
        <v>157</v>
      </c>
      <c r="CQ3" s="9" t="s">
        <v>157</v>
      </c>
      <c r="CR3" s="9" t="s">
        <v>157</v>
      </c>
      <c r="CS3" s="9" t="s">
        <v>157</v>
      </c>
      <c r="CT3" s="9" t="s">
        <v>157</v>
      </c>
      <c r="CU3" s="9" t="s">
        <v>157</v>
      </c>
      <c r="CV3" s="9" t="s">
        <v>157</v>
      </c>
      <c r="CW3" s="9" t="s">
        <v>155</v>
      </c>
      <c r="CX3" s="9" t="s">
        <v>156</v>
      </c>
      <c r="CY3" s="9" t="s">
        <v>157</v>
      </c>
      <c r="CZ3" s="9" t="s">
        <v>157</v>
      </c>
      <c r="DA3" s="9" t="s">
        <v>157</v>
      </c>
      <c r="DB3" s="9" t="s">
        <v>157</v>
      </c>
      <c r="DC3" s="7">
        <v>5</v>
      </c>
      <c r="DD3" s="7">
        <v>2</v>
      </c>
      <c r="DE3" s="7">
        <v>2</v>
      </c>
      <c r="DF3" s="7">
        <v>2</v>
      </c>
      <c r="DG3" s="7">
        <v>2</v>
      </c>
      <c r="DH3" s="7">
        <v>2</v>
      </c>
      <c r="DI3" s="7">
        <v>2</v>
      </c>
      <c r="DJ3" s="7">
        <v>2</v>
      </c>
      <c r="DK3" s="7">
        <v>2</v>
      </c>
      <c r="DL3" s="7">
        <v>5</v>
      </c>
      <c r="DM3" s="7">
        <v>2</v>
      </c>
      <c r="DN3" s="7">
        <v>5</v>
      </c>
      <c r="DO3" s="7">
        <v>5</v>
      </c>
      <c r="DP3" s="7">
        <v>5</v>
      </c>
      <c r="DQ3" s="7">
        <v>5</v>
      </c>
      <c r="DR3" s="7">
        <v>5</v>
      </c>
      <c r="DS3" s="7">
        <v>5</v>
      </c>
      <c r="DT3" s="7">
        <v>5</v>
      </c>
      <c r="DU3" s="7">
        <v>4</v>
      </c>
      <c r="DV3" s="7">
        <v>2</v>
      </c>
      <c r="DW3" s="7">
        <v>2</v>
      </c>
      <c r="DX3" s="7">
        <v>5</v>
      </c>
      <c r="DY3" s="7">
        <v>2</v>
      </c>
      <c r="DZ3" s="7">
        <v>2</v>
      </c>
      <c r="EA3" s="7">
        <v>2</v>
      </c>
      <c r="EB3" s="7">
        <v>2</v>
      </c>
      <c r="EC3" s="7">
        <v>1</v>
      </c>
      <c r="ED3" s="7">
        <v>2</v>
      </c>
      <c r="EE3" s="7">
        <v>2</v>
      </c>
      <c r="EF3" s="7">
        <v>2</v>
      </c>
      <c r="EG3" s="7">
        <v>2</v>
      </c>
      <c r="EH3" s="7">
        <v>2</v>
      </c>
      <c r="EI3" s="7">
        <v>2</v>
      </c>
      <c r="EJ3" s="7">
        <v>2</v>
      </c>
    </row>
    <row r="4" spans="1:140">
      <c r="A4" s="7" t="s">
        <v>158</v>
      </c>
      <c r="B4" s="7"/>
      <c r="C4" s="12">
        <v>0</v>
      </c>
      <c r="D4" s="67">
        <v>0.01</v>
      </c>
      <c r="E4" s="12">
        <v>0.02</v>
      </c>
      <c r="F4" s="67">
        <v>0.03</v>
      </c>
      <c r="G4" s="12">
        <v>0.04</v>
      </c>
      <c r="H4" s="67">
        <v>0.05</v>
      </c>
      <c r="I4" s="12">
        <v>0.06</v>
      </c>
      <c r="J4" s="67">
        <v>7.0000000000000007E-2</v>
      </c>
      <c r="K4" s="12">
        <v>0.08</v>
      </c>
      <c r="L4" s="67">
        <v>0.09</v>
      </c>
      <c r="M4" s="12">
        <v>0.1</v>
      </c>
      <c r="N4" s="67">
        <v>0.11</v>
      </c>
      <c r="O4" s="13">
        <f ca="1">IFERROR(__xludf.DUMMYFUNCTION("QUERY(Import_from_CeFi_dashboard!E3)"),-0.126020956721469)</f>
        <v>-0.12602095672146901</v>
      </c>
      <c r="P4" s="12">
        <v>0.12</v>
      </c>
      <c r="Q4" s="67">
        <v>0.13</v>
      </c>
      <c r="R4" s="12">
        <v>0.14000000000000001</v>
      </c>
      <c r="S4" s="67">
        <v>0.15</v>
      </c>
      <c r="T4" s="12">
        <v>0.16</v>
      </c>
      <c r="U4" s="67">
        <v>0.17</v>
      </c>
      <c r="V4" s="12">
        <v>0.18</v>
      </c>
      <c r="W4" s="67">
        <v>0.19</v>
      </c>
      <c r="X4" s="12">
        <v>0.2</v>
      </c>
      <c r="Y4" s="67">
        <v>0.21</v>
      </c>
      <c r="Z4" s="12">
        <v>0.22</v>
      </c>
      <c r="AA4" s="67">
        <v>0.23</v>
      </c>
      <c r="AB4" s="67">
        <v>0.24</v>
      </c>
      <c r="AC4" s="12">
        <v>0.25</v>
      </c>
      <c r="AD4" s="67">
        <v>0.26</v>
      </c>
      <c r="AE4" s="67">
        <v>0.27</v>
      </c>
      <c r="AF4" s="12">
        <v>0.28000000000000003</v>
      </c>
      <c r="AG4" s="67">
        <v>0.28999999999999998</v>
      </c>
      <c r="AH4" s="67">
        <v>0.3</v>
      </c>
      <c r="AI4" s="67">
        <v>0.31</v>
      </c>
      <c r="AJ4" s="12">
        <v>0.32</v>
      </c>
      <c r="AK4" s="67">
        <v>0.33</v>
      </c>
      <c r="AL4" s="67">
        <v>0.34</v>
      </c>
      <c r="AM4" s="67">
        <v>0.35</v>
      </c>
      <c r="AN4" s="12">
        <v>0.36</v>
      </c>
      <c r="AO4" s="67">
        <v>0.37</v>
      </c>
      <c r="AP4" s="67">
        <v>0.38</v>
      </c>
      <c r="AQ4" s="67">
        <v>0.39</v>
      </c>
      <c r="AR4" s="12">
        <v>0.4</v>
      </c>
      <c r="AS4" s="67">
        <v>0.41</v>
      </c>
      <c r="AT4" s="67">
        <v>0.42</v>
      </c>
      <c r="AU4" s="67">
        <v>0.43</v>
      </c>
      <c r="AV4" s="12">
        <v>0.44</v>
      </c>
      <c r="AW4" s="67">
        <v>0.45</v>
      </c>
      <c r="AX4" s="67">
        <v>0.46</v>
      </c>
      <c r="AY4" s="67">
        <v>0.47</v>
      </c>
      <c r="AZ4" s="12">
        <v>0.48</v>
      </c>
      <c r="BA4" s="67">
        <v>0.49</v>
      </c>
      <c r="BB4" s="67">
        <v>0.5</v>
      </c>
      <c r="BC4" s="67">
        <v>0.51</v>
      </c>
      <c r="BD4" s="12">
        <v>0.52</v>
      </c>
      <c r="BE4" s="67">
        <v>0.53</v>
      </c>
      <c r="BF4" s="67">
        <v>0.54</v>
      </c>
      <c r="BG4" s="67">
        <v>0.55000000000000004</v>
      </c>
      <c r="BH4" s="12">
        <v>0.56000000000000005</v>
      </c>
      <c r="BI4" s="67">
        <v>0.56999999999999995</v>
      </c>
      <c r="BJ4" s="67">
        <v>0.57999999999999996</v>
      </c>
      <c r="BK4" s="67">
        <v>0.59</v>
      </c>
      <c r="BL4" s="12">
        <v>0.6</v>
      </c>
      <c r="BM4" s="67">
        <v>0.61</v>
      </c>
      <c r="BN4" s="67">
        <v>0.62</v>
      </c>
      <c r="BO4" s="67">
        <v>0.63</v>
      </c>
      <c r="BP4" s="12">
        <v>0.64</v>
      </c>
      <c r="BQ4" s="67">
        <v>0.65</v>
      </c>
      <c r="BR4" s="67">
        <v>0.66</v>
      </c>
      <c r="BS4" s="67">
        <v>0.67</v>
      </c>
      <c r="BT4" s="12">
        <v>0.68</v>
      </c>
      <c r="BU4" s="67">
        <v>0.69</v>
      </c>
      <c r="BV4" s="67">
        <v>0.7</v>
      </c>
      <c r="BW4" s="67">
        <v>0.71</v>
      </c>
      <c r="BX4" s="12">
        <v>0.72</v>
      </c>
      <c r="BY4" s="67">
        <v>0.73</v>
      </c>
      <c r="BZ4" s="67">
        <v>0.74</v>
      </c>
      <c r="CA4" s="67">
        <v>0.75</v>
      </c>
      <c r="CB4" s="12">
        <v>0.76</v>
      </c>
      <c r="CC4" s="67">
        <v>0.77</v>
      </c>
      <c r="CD4" s="67">
        <v>0.78</v>
      </c>
      <c r="CE4" s="67">
        <v>0.79</v>
      </c>
      <c r="CF4" s="12">
        <v>0.8</v>
      </c>
      <c r="CG4" s="67">
        <v>0.81</v>
      </c>
      <c r="CH4" s="67">
        <v>0.82</v>
      </c>
      <c r="CI4" s="67">
        <v>0.83000000000000096</v>
      </c>
      <c r="CJ4" s="12">
        <v>0.84000000000000097</v>
      </c>
      <c r="CK4" s="67">
        <v>0.85000000000000098</v>
      </c>
      <c r="CL4" s="67">
        <v>0.86000000000000099</v>
      </c>
      <c r="CM4" s="67">
        <v>0.87000000000000099</v>
      </c>
      <c r="CN4" s="12">
        <v>0.880000000000001</v>
      </c>
      <c r="CO4" s="67">
        <v>0.89000000000000101</v>
      </c>
      <c r="CP4" s="67">
        <v>0.90000000000000102</v>
      </c>
      <c r="CQ4" s="67">
        <v>0.91000000000000103</v>
      </c>
      <c r="CR4" s="12">
        <v>0.92000000000000104</v>
      </c>
      <c r="CS4" s="67">
        <v>0.93000000000000105</v>
      </c>
      <c r="CT4" s="67">
        <v>0.94000000000000095</v>
      </c>
      <c r="CU4" s="67">
        <v>0.95000000000000095</v>
      </c>
      <c r="CV4" s="12">
        <v>0.96000000000000096</v>
      </c>
      <c r="CW4" s="67">
        <v>0.97000000000000097</v>
      </c>
      <c r="CX4" s="67">
        <v>0.98000000000000098</v>
      </c>
      <c r="CY4" s="67">
        <v>0.99000000000000099</v>
      </c>
      <c r="CZ4" s="12">
        <v>1</v>
      </c>
      <c r="DA4" s="67">
        <v>1.01</v>
      </c>
      <c r="DB4" s="67">
        <v>1.02</v>
      </c>
      <c r="DC4" s="67">
        <v>1.03</v>
      </c>
      <c r="DD4" s="12">
        <v>1.04</v>
      </c>
      <c r="DE4" s="67">
        <v>1.05</v>
      </c>
      <c r="DF4" s="67">
        <v>1.06</v>
      </c>
      <c r="DG4" s="67">
        <v>1.07</v>
      </c>
      <c r="DH4" s="12">
        <v>1.08</v>
      </c>
      <c r="DI4" s="67">
        <v>1.0900000000000001</v>
      </c>
      <c r="DJ4" s="67">
        <v>1.1000000000000001</v>
      </c>
      <c r="DK4" s="67">
        <v>1.1100000000000001</v>
      </c>
      <c r="DL4" s="12">
        <v>1.1200000000000001</v>
      </c>
      <c r="DM4" s="67">
        <v>1.1299999999999999</v>
      </c>
      <c r="DN4" s="67">
        <v>1.1399999999999999</v>
      </c>
      <c r="DO4" s="67">
        <v>1.1499999999999999</v>
      </c>
      <c r="DP4" s="12">
        <v>1.1599999999999999</v>
      </c>
      <c r="DQ4" s="67">
        <v>1.17</v>
      </c>
      <c r="DR4" s="67">
        <v>1.18</v>
      </c>
      <c r="DS4" s="67">
        <v>1.19</v>
      </c>
      <c r="DT4" s="12">
        <v>1.2</v>
      </c>
      <c r="DU4" s="67">
        <v>1.21</v>
      </c>
      <c r="DV4" s="67">
        <v>1.22</v>
      </c>
      <c r="DW4" s="67">
        <v>1.23</v>
      </c>
      <c r="DX4" s="12">
        <v>1.24</v>
      </c>
      <c r="DY4" s="67">
        <v>1.25</v>
      </c>
      <c r="DZ4" s="67">
        <v>1.26</v>
      </c>
      <c r="EA4" s="67">
        <v>1.27</v>
      </c>
      <c r="EB4" s="12">
        <v>1.28</v>
      </c>
      <c r="EC4" s="67">
        <v>1.29</v>
      </c>
      <c r="ED4" s="67">
        <v>1.3</v>
      </c>
      <c r="EE4" s="67">
        <v>1.31</v>
      </c>
      <c r="EF4" s="12">
        <v>1.32</v>
      </c>
      <c r="EG4" s="67">
        <v>1.33</v>
      </c>
      <c r="EH4" s="67">
        <v>1.34</v>
      </c>
      <c r="EI4" s="67">
        <v>1.35</v>
      </c>
      <c r="EJ4" s="12">
        <v>1.36</v>
      </c>
    </row>
    <row r="5" spans="1:140">
      <c r="A5" s="7" t="s">
        <v>159</v>
      </c>
      <c r="B5" s="7" t="s">
        <v>160</v>
      </c>
      <c r="C5" s="7" t="s">
        <v>160</v>
      </c>
      <c r="D5" s="7" t="s">
        <v>160</v>
      </c>
      <c r="E5" s="7" t="s">
        <v>160</v>
      </c>
      <c r="F5" s="7" t="s">
        <v>160</v>
      </c>
      <c r="G5" s="7" t="s">
        <v>160</v>
      </c>
      <c r="H5" s="7" t="s">
        <v>160</v>
      </c>
      <c r="I5" s="7" t="s">
        <v>160</v>
      </c>
      <c r="J5" s="7" t="s">
        <v>160</v>
      </c>
      <c r="K5" s="7" t="s">
        <v>160</v>
      </c>
      <c r="L5" s="7" t="s">
        <v>160</v>
      </c>
      <c r="M5" s="7" t="s">
        <v>160</v>
      </c>
      <c r="N5" s="7" t="s">
        <v>160</v>
      </c>
      <c r="O5" s="7" t="s">
        <v>160</v>
      </c>
      <c r="P5" s="7" t="s">
        <v>160</v>
      </c>
      <c r="Q5" s="7" t="s">
        <v>160</v>
      </c>
      <c r="R5" s="7" t="s">
        <v>161</v>
      </c>
      <c r="S5" s="7" t="s">
        <v>160</v>
      </c>
      <c r="T5" s="7" t="s">
        <v>160</v>
      </c>
      <c r="U5" s="7" t="s">
        <v>160</v>
      </c>
      <c r="V5" s="7" t="s">
        <v>160</v>
      </c>
      <c r="W5" s="7" t="s">
        <v>160</v>
      </c>
      <c r="X5" s="7" t="s">
        <v>160</v>
      </c>
      <c r="Y5" s="7" t="s">
        <v>160</v>
      </c>
      <c r="Z5" s="7" t="s">
        <v>160</v>
      </c>
      <c r="AA5" s="7" t="s">
        <v>160</v>
      </c>
      <c r="AB5" s="7" t="s">
        <v>160</v>
      </c>
      <c r="AC5" s="7" t="s">
        <v>160</v>
      </c>
      <c r="AD5" s="7" t="s">
        <v>160</v>
      </c>
      <c r="AE5" s="7" t="s">
        <v>160</v>
      </c>
      <c r="AF5" s="7" t="s">
        <v>160</v>
      </c>
      <c r="AG5" s="7" t="s">
        <v>160</v>
      </c>
      <c r="AH5" s="7" t="s">
        <v>160</v>
      </c>
      <c r="AI5" s="7" t="s">
        <v>160</v>
      </c>
      <c r="AJ5" s="7" t="s">
        <v>160</v>
      </c>
      <c r="AK5" s="7" t="s">
        <v>160</v>
      </c>
      <c r="AL5" s="7" t="s">
        <v>160</v>
      </c>
      <c r="AM5" s="7" t="s">
        <v>160</v>
      </c>
      <c r="AN5" s="7" t="s">
        <v>160</v>
      </c>
      <c r="AO5" s="7" t="s">
        <v>160</v>
      </c>
      <c r="AP5" s="7" t="s">
        <v>160</v>
      </c>
      <c r="AQ5" s="7" t="s">
        <v>160</v>
      </c>
      <c r="AR5" s="7" t="s">
        <v>160</v>
      </c>
      <c r="AS5" s="7" t="s">
        <v>161</v>
      </c>
      <c r="AT5" s="7" t="s">
        <v>160</v>
      </c>
      <c r="AU5" s="7" t="s">
        <v>160</v>
      </c>
      <c r="AV5" s="7" t="s">
        <v>160</v>
      </c>
      <c r="AW5" s="7" t="s">
        <v>160</v>
      </c>
      <c r="AX5" s="7" t="s">
        <v>160</v>
      </c>
      <c r="AY5" s="7" t="s">
        <v>160</v>
      </c>
      <c r="AZ5" s="7" t="s">
        <v>162</v>
      </c>
      <c r="BA5" s="7" t="s">
        <v>161</v>
      </c>
      <c r="BB5" s="7" t="s">
        <v>161</v>
      </c>
      <c r="BC5" s="7" t="s">
        <v>161</v>
      </c>
      <c r="BD5" s="7" t="s">
        <v>161</v>
      </c>
      <c r="BE5" s="7" t="s">
        <v>161</v>
      </c>
      <c r="BF5" s="7" t="s">
        <v>161</v>
      </c>
      <c r="BG5" s="7" t="s">
        <v>161</v>
      </c>
      <c r="BH5" s="7" t="s">
        <v>161</v>
      </c>
      <c r="BI5" s="7" t="s">
        <v>161</v>
      </c>
      <c r="BJ5" s="7" t="s">
        <v>161</v>
      </c>
      <c r="BK5" s="7" t="s">
        <v>161</v>
      </c>
      <c r="BL5" s="7" t="s">
        <v>161</v>
      </c>
      <c r="BM5" s="7" t="s">
        <v>161</v>
      </c>
      <c r="BN5" s="7" t="s">
        <v>161</v>
      </c>
      <c r="BO5" s="7" t="s">
        <v>161</v>
      </c>
      <c r="BP5" s="7" t="s">
        <v>161</v>
      </c>
      <c r="BQ5" s="7" t="s">
        <v>161</v>
      </c>
      <c r="BR5" s="7" t="s">
        <v>161</v>
      </c>
      <c r="BS5" s="7" t="s">
        <v>161</v>
      </c>
      <c r="BT5" s="7" t="s">
        <v>161</v>
      </c>
      <c r="BU5" s="7" t="s">
        <v>161</v>
      </c>
      <c r="BV5" s="7" t="s">
        <v>161</v>
      </c>
      <c r="BW5" s="7" t="s">
        <v>161</v>
      </c>
      <c r="BX5" s="7" t="s">
        <v>161</v>
      </c>
      <c r="BY5" s="7" t="s">
        <v>161</v>
      </c>
      <c r="BZ5" s="7" t="s">
        <v>161</v>
      </c>
      <c r="CA5" s="7" t="s">
        <v>161</v>
      </c>
      <c r="CB5" s="7" t="s">
        <v>161</v>
      </c>
      <c r="CC5" s="7" t="s">
        <v>161</v>
      </c>
      <c r="CD5" s="7" t="s">
        <v>161</v>
      </c>
      <c r="CE5" s="7" t="s">
        <v>161</v>
      </c>
      <c r="CF5" s="7" t="s">
        <v>161</v>
      </c>
      <c r="CG5" s="7" t="s">
        <v>161</v>
      </c>
      <c r="CH5" s="7" t="s">
        <v>161</v>
      </c>
      <c r="CI5" s="7" t="s">
        <v>161</v>
      </c>
      <c r="CJ5" s="7" t="s">
        <v>161</v>
      </c>
      <c r="CK5" s="7" t="s">
        <v>161</v>
      </c>
      <c r="CL5" s="7" t="s">
        <v>161</v>
      </c>
      <c r="CM5" s="7" t="s">
        <v>161</v>
      </c>
      <c r="CN5" s="7" t="s">
        <v>161</v>
      </c>
      <c r="CO5" s="7" t="s">
        <v>161</v>
      </c>
      <c r="CP5" s="7" t="s">
        <v>161</v>
      </c>
      <c r="CQ5" s="7" t="s">
        <v>161</v>
      </c>
      <c r="CR5" s="7" t="s">
        <v>161</v>
      </c>
      <c r="CS5" s="7" t="s">
        <v>161</v>
      </c>
      <c r="CT5" s="7" t="s">
        <v>161</v>
      </c>
      <c r="CU5" s="7" t="s">
        <v>161</v>
      </c>
      <c r="CV5" s="7" t="s">
        <v>161</v>
      </c>
      <c r="CW5" s="7" t="s">
        <v>161</v>
      </c>
      <c r="CX5" s="7" t="s">
        <v>161</v>
      </c>
      <c r="CY5" s="7" t="s">
        <v>161</v>
      </c>
      <c r="CZ5" s="7" t="s">
        <v>161</v>
      </c>
      <c r="DA5" s="7" t="s">
        <v>161</v>
      </c>
      <c r="DB5" s="7" t="s">
        <v>161</v>
      </c>
      <c r="DC5" s="7" t="s">
        <v>160</v>
      </c>
      <c r="DD5" s="7" t="s">
        <v>161</v>
      </c>
      <c r="DE5" s="7" t="s">
        <v>161</v>
      </c>
      <c r="DF5" s="7" t="s">
        <v>161</v>
      </c>
      <c r="DG5" s="7" t="s">
        <v>161</v>
      </c>
      <c r="DH5" s="7" t="s">
        <v>161</v>
      </c>
      <c r="DI5" s="7" t="s">
        <v>161</v>
      </c>
      <c r="DJ5" s="7" t="s">
        <v>161</v>
      </c>
      <c r="DK5" s="7" t="s">
        <v>161</v>
      </c>
      <c r="DL5" s="7" t="s">
        <v>160</v>
      </c>
      <c r="DM5" s="7" t="s">
        <v>161</v>
      </c>
      <c r="DN5" s="7" t="s">
        <v>161</v>
      </c>
      <c r="DO5" s="7" t="s">
        <v>161</v>
      </c>
      <c r="DP5" s="7" t="s">
        <v>161</v>
      </c>
      <c r="DQ5" s="7" t="s">
        <v>161</v>
      </c>
      <c r="DR5" s="7" t="s">
        <v>161</v>
      </c>
      <c r="DS5" s="7" t="s">
        <v>161</v>
      </c>
      <c r="DT5" s="7" t="s">
        <v>160</v>
      </c>
      <c r="DU5" s="7" t="s">
        <v>160</v>
      </c>
      <c r="DV5" s="7" t="s">
        <v>161</v>
      </c>
      <c r="DW5" s="7" t="s">
        <v>161</v>
      </c>
      <c r="DX5" s="7" t="s">
        <v>163</v>
      </c>
      <c r="DY5" s="7" t="s">
        <v>160</v>
      </c>
      <c r="DZ5" s="7" t="s">
        <v>161</v>
      </c>
      <c r="EA5" s="7" t="s">
        <v>161</v>
      </c>
      <c r="EB5" s="7" t="s">
        <v>160</v>
      </c>
      <c r="EC5" s="7" t="s">
        <v>160</v>
      </c>
      <c r="ED5" s="7" t="s">
        <v>160</v>
      </c>
      <c r="EE5" s="7" t="s">
        <v>161</v>
      </c>
      <c r="EF5" s="7" t="s">
        <v>161</v>
      </c>
      <c r="EG5" s="7" t="s">
        <v>160</v>
      </c>
      <c r="EH5" s="7" t="s">
        <v>160</v>
      </c>
      <c r="EI5" s="7" t="s">
        <v>160</v>
      </c>
      <c r="EJ5" s="7" t="s">
        <v>160</v>
      </c>
    </row>
    <row r="6" spans="1:140">
      <c r="A6" s="9" t="s">
        <v>164</v>
      </c>
      <c r="B6" s="13"/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/>
      <c r="I6" s="14" t="str">
        <f>IFERROR(VLOOKUP(A6,'Inst Lending numbers'!A:D,4,FALSE)," ")</f>
        <v xml:space="preserve"> </v>
      </c>
      <c r="J6" s="13"/>
      <c r="K6" s="13"/>
      <c r="L6" s="13"/>
      <c r="M6" s="13"/>
      <c r="N6" s="13"/>
      <c r="O6" s="13">
        <f t="shared" ref="O6:O14" ca="1" si="0">$O$4</f>
        <v>-0.12602095672146901</v>
      </c>
      <c r="P6" s="13"/>
      <c r="Q6" s="13"/>
      <c r="R6" s="13">
        <v>0</v>
      </c>
      <c r="S6" s="13"/>
      <c r="T6" s="13"/>
      <c r="U6" s="13"/>
      <c r="V6" s="13"/>
      <c r="W6" s="13"/>
      <c r="X6" s="13"/>
      <c r="Y6" s="13"/>
      <c r="Z6" s="13"/>
      <c r="AA6" s="13">
        <v>0</v>
      </c>
      <c r="AB6" s="13">
        <f t="shared" ref="AB6:AB14" si="1">$AB$4</f>
        <v>0.24</v>
      </c>
      <c r="AC6" s="13"/>
      <c r="AD6" s="13"/>
      <c r="AE6" s="13">
        <f>IFERROR(SUMIF('Weekly Rates'!D:D,A6,'Weekly Rates'!F:F)/COUNTIF('Weekly Rates'!D:D,A6),0)</f>
        <v>0</v>
      </c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 t="s">
        <v>303</v>
      </c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</row>
    <row r="7" spans="1:140">
      <c r="A7" s="9" t="s">
        <v>165</v>
      </c>
      <c r="B7" s="13"/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/>
      <c r="I7" s="14" t="str">
        <f>IFERROR(VLOOKUP(A7,'Inst Lending numbers'!A:D,4,FALSE)," ")</f>
        <v xml:space="preserve"> </v>
      </c>
      <c r="J7" s="13"/>
      <c r="K7" s="13"/>
      <c r="L7" s="13"/>
      <c r="M7" s="13"/>
      <c r="N7" s="13"/>
      <c r="O7" s="13">
        <f t="shared" ca="1" si="0"/>
        <v>-0.12602095672146901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>
        <v>0</v>
      </c>
      <c r="AB7" s="13">
        <f t="shared" si="1"/>
        <v>0.24</v>
      </c>
      <c r="AC7" s="13"/>
      <c r="AD7" s="13"/>
      <c r="AE7" s="13">
        <f>IFERROR(SUMIF('Weekly Rates'!D:D,A7,'Weekly Rates'!F:F)/COUNTIF('Weekly Rates'!D:D,A7),0)</f>
        <v>0</v>
      </c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 t="s">
        <v>303</v>
      </c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</row>
    <row r="8" spans="1:140">
      <c r="A8" s="9" t="s">
        <v>166</v>
      </c>
      <c r="B8" s="13"/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/>
      <c r="I8" s="14">
        <f>IFERROR(VLOOKUP(A8,'Inst Lending numbers'!A:D,4,FALSE)," ")</f>
        <v>6.59E-2</v>
      </c>
      <c r="J8" s="13"/>
      <c r="K8" s="13"/>
      <c r="L8" s="13"/>
      <c r="M8" s="13"/>
      <c r="N8" s="13"/>
      <c r="O8" s="13">
        <f t="shared" ca="1" si="0"/>
        <v>-0.12602095672146901</v>
      </c>
      <c r="P8" s="13"/>
      <c r="Q8" s="13">
        <v>0</v>
      </c>
      <c r="R8" s="13"/>
      <c r="S8" s="13"/>
      <c r="T8" s="13"/>
      <c r="U8" s="13"/>
      <c r="V8" s="13"/>
      <c r="W8" s="13"/>
      <c r="X8" s="13"/>
      <c r="Y8" s="13"/>
      <c r="Z8" s="13"/>
      <c r="AA8" s="13">
        <v>0</v>
      </c>
      <c r="AB8" s="13">
        <f t="shared" si="1"/>
        <v>0.24</v>
      </c>
      <c r="AC8" s="13"/>
      <c r="AD8" s="13"/>
      <c r="AE8" s="13">
        <f>IFERROR(SUMIF('Weekly Rates'!D:D,A8,'Weekly Rates'!F:F)/COUNTIF('Weekly Rates'!D:D,A8),0)</f>
        <v>0</v>
      </c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 t="s">
        <v>303</v>
      </c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</row>
    <row r="9" spans="1:140">
      <c r="A9" s="9" t="s">
        <v>167</v>
      </c>
      <c r="B9" s="13"/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/>
      <c r="I9" s="14">
        <f>IFERROR(VLOOKUP(A9,'Inst Lending numbers'!A:D,4,FALSE)," ")</f>
        <v>7.3300000000000004E-2</v>
      </c>
      <c r="J9" s="7" t="s">
        <v>168</v>
      </c>
      <c r="K9" s="13"/>
      <c r="L9" s="13"/>
      <c r="M9" s="13"/>
      <c r="N9" s="13"/>
      <c r="O9" s="13">
        <f t="shared" ca="1" si="0"/>
        <v>-0.12602095672146901</v>
      </c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>
        <v>0</v>
      </c>
      <c r="AB9" s="13">
        <f t="shared" si="1"/>
        <v>0.24</v>
      </c>
      <c r="AC9" s="13"/>
      <c r="AD9" s="13"/>
      <c r="AE9" s="13">
        <f>IFERROR(SUMIF('Weekly Rates'!D:D,A9,'Weekly Rates'!F:F)/COUNTIF('Weekly Rates'!D:D,A9),0)</f>
        <v>0</v>
      </c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>
        <v>4.4999999999999998E-2</v>
      </c>
      <c r="AR9" s="13"/>
      <c r="AS9" s="13" t="s">
        <v>303</v>
      </c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</row>
    <row r="10" spans="1:140">
      <c r="A10" s="9" t="s">
        <v>169</v>
      </c>
      <c r="B10" s="13"/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/>
      <c r="I10" s="14" t="str">
        <f>IFERROR(VLOOKUP(A10,'Inst Lending numbers'!A:D,4,FALSE)," ")</f>
        <v xml:space="preserve"> </v>
      </c>
      <c r="J10" s="13"/>
      <c r="K10" s="13"/>
      <c r="L10" s="13"/>
      <c r="M10" s="13"/>
      <c r="N10" s="13"/>
      <c r="O10" s="13">
        <f t="shared" ca="1" si="0"/>
        <v>-0.12602095672146901</v>
      </c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>
        <v>0</v>
      </c>
      <c r="AB10" s="13">
        <f t="shared" si="1"/>
        <v>0.24</v>
      </c>
      <c r="AC10" s="13"/>
      <c r="AD10" s="13"/>
      <c r="AE10" s="13">
        <f>IFERROR(SUMIF('Weekly Rates'!D:D,A10,'Weekly Rates'!F:F)/COUNTIF('Weekly Rates'!D:D,A10),0)</f>
        <v>0</v>
      </c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 t="s">
        <v>303</v>
      </c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</row>
    <row r="11" spans="1:140">
      <c r="A11" s="9" t="s">
        <v>170</v>
      </c>
      <c r="B11" s="13"/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/>
      <c r="I11" s="14" t="str">
        <f>IFERROR(VLOOKUP(A11,'Inst Lending numbers'!A:D,4,FALSE)," ")</f>
        <v xml:space="preserve"> </v>
      </c>
      <c r="J11" s="13"/>
      <c r="K11" s="13"/>
      <c r="L11" s="13"/>
      <c r="M11" s="13"/>
      <c r="N11" s="13"/>
      <c r="O11" s="13">
        <f t="shared" ca="1" si="0"/>
        <v>-0.12602095672146901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>
        <v>0</v>
      </c>
      <c r="AB11" s="13">
        <f t="shared" si="1"/>
        <v>0.24</v>
      </c>
      <c r="AC11" s="13"/>
      <c r="AD11" s="13"/>
      <c r="AE11" s="13">
        <f>IFERROR(SUMIF('Weekly Rates'!D:D,A11,'Weekly Rates'!F:F)/COUNTIF('Weekly Rates'!D:D,A11),0)</f>
        <v>0</v>
      </c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 t="s">
        <v>303</v>
      </c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</row>
    <row r="12" spans="1:140">
      <c r="A12" s="9" t="s">
        <v>171</v>
      </c>
      <c r="B12" s="13"/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/>
      <c r="I12" s="14" t="str">
        <f>IFERROR(VLOOKUP(A12,'Inst Lending numbers'!A:D,4,FALSE)," ")</f>
        <v xml:space="preserve"> </v>
      </c>
      <c r="J12" s="13"/>
      <c r="K12" s="13"/>
      <c r="L12" s="13"/>
      <c r="M12" s="13"/>
      <c r="N12" s="13"/>
      <c r="O12" s="13">
        <f t="shared" ca="1" si="0"/>
        <v>-0.12602095672146901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>
        <v>0</v>
      </c>
      <c r="AB12" s="13">
        <f t="shared" si="1"/>
        <v>0.24</v>
      </c>
      <c r="AC12" s="13"/>
      <c r="AD12" s="13"/>
      <c r="AE12" s="13">
        <f>IFERROR(SUMIF('Weekly Rates'!D:D,A12,'Weekly Rates'!F:F)/COUNTIF('Weekly Rates'!D:D,A12),0)</f>
        <v>0</v>
      </c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 t="s">
        <v>303</v>
      </c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</row>
    <row r="13" spans="1:140">
      <c r="A13" s="9" t="s">
        <v>172</v>
      </c>
      <c r="B13" s="13"/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/>
      <c r="I13" s="14" t="str">
        <f>IFERROR(VLOOKUP(A13,'Inst Lending numbers'!A:D,4,FALSE)," ")</f>
        <v xml:space="preserve"> </v>
      </c>
      <c r="J13" s="13"/>
      <c r="K13" s="13"/>
      <c r="L13" s="13"/>
      <c r="M13" s="13"/>
      <c r="N13" s="13"/>
      <c r="O13" s="13">
        <f t="shared" ca="1" si="0"/>
        <v>-0.12602095672146901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>
        <v>0</v>
      </c>
      <c r="AB13" s="13">
        <f t="shared" si="1"/>
        <v>0.24</v>
      </c>
      <c r="AC13" s="13"/>
      <c r="AD13" s="13"/>
      <c r="AE13" s="13">
        <f>IFERROR(SUMIF('Weekly Rates'!D:D,A13,'Weekly Rates'!F:F)/COUNTIF('Weekly Rates'!D:D,A13),0)</f>
        <v>0</v>
      </c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 t="s">
        <v>303</v>
      </c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</row>
    <row r="14" spans="1:140">
      <c r="A14" s="9" t="s">
        <v>173</v>
      </c>
      <c r="B14" s="13"/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/>
      <c r="I14" s="14" t="str">
        <f>IFERROR(VLOOKUP(A14,'Inst Lending numbers'!A:D,4,FALSE)," ")</f>
        <v xml:space="preserve"> </v>
      </c>
      <c r="J14" s="13"/>
      <c r="K14" s="13"/>
      <c r="L14" s="13"/>
      <c r="M14" s="13"/>
      <c r="N14" s="13"/>
      <c r="O14" s="13">
        <f t="shared" ca="1" si="0"/>
        <v>-0.12602095672146901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>
        <v>0</v>
      </c>
      <c r="AB14" s="13">
        <f t="shared" si="1"/>
        <v>0.24</v>
      </c>
      <c r="AC14" s="13"/>
      <c r="AD14" s="13"/>
      <c r="AE14" s="13">
        <f>IFERROR(SUMIF('Weekly Rates'!D:D,A14,'Weekly Rates'!F:F)/COUNTIF('Weekly Rates'!D:D,A14),0)</f>
        <v>0</v>
      </c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 t="s">
        <v>303</v>
      </c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</row>
    <row r="15" spans="1:140">
      <c r="A15" s="7" t="s">
        <v>174</v>
      </c>
      <c r="B15" s="13"/>
      <c r="C15" s="13"/>
      <c r="D15" s="13"/>
      <c r="E15" s="13"/>
      <c r="F15" s="13"/>
      <c r="G15" s="13"/>
      <c r="H15" s="13"/>
      <c r="I15" s="14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>
        <v>0</v>
      </c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 t="s">
        <v>303</v>
      </c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</row>
    <row r="16" spans="1:140">
      <c r="A16" s="7" t="s">
        <v>175</v>
      </c>
      <c r="B16" s="13"/>
      <c r="C16" s="13"/>
      <c r="D16" s="13"/>
      <c r="E16" s="13"/>
      <c r="F16" s="13"/>
      <c r="G16" s="13"/>
      <c r="H16" s="13"/>
      <c r="I16" s="14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>
        <v>0</v>
      </c>
      <c r="AB16" s="13"/>
      <c r="AC16" s="13"/>
      <c r="AD16" s="13"/>
      <c r="AE16" s="13">
        <f>IFERROR(SUMIF('Weekly Rates'!D:D,A16,'Weekly Rates'!F:F)/COUNTIF('Weekly Rates'!D:D,A16),0)</f>
        <v>0</v>
      </c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 t="s">
        <v>303</v>
      </c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</row>
    <row r="17" spans="1:140">
      <c r="A17" s="9" t="s">
        <v>176</v>
      </c>
      <c r="B17" s="13"/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/>
      <c r="I17" s="14">
        <f>IFERROR(VLOOKUP(A17,'Inst Lending numbers'!A:D,4,FALSE)," ")</f>
        <v>0.55000000000000004</v>
      </c>
      <c r="J17" s="13"/>
      <c r="K17" s="13"/>
      <c r="L17" s="13"/>
      <c r="M17" s="13"/>
      <c r="N17" s="13"/>
      <c r="O17" s="13">
        <f t="shared" ref="O17:O30" ca="1" si="2">$O$4</f>
        <v>-0.12602095672146901</v>
      </c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>
        <v>0</v>
      </c>
      <c r="AB17" s="13">
        <f t="shared" ref="AB17:AB30" si="3">$AB$4</f>
        <v>0.24</v>
      </c>
      <c r="AC17" s="13"/>
      <c r="AD17" s="13"/>
      <c r="AE17" s="13">
        <f>IFERROR(SUMIF('Weekly Rates'!D:D,A17,'Weekly Rates'!F:F)/COUNTIF('Weekly Rates'!D:D,A17),0)</f>
        <v>0</v>
      </c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 t="s">
        <v>303</v>
      </c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</row>
    <row r="18" spans="1:140">
      <c r="A18" s="9" t="s">
        <v>177</v>
      </c>
      <c r="B18" s="13"/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/>
      <c r="I18" s="14">
        <f>IFERROR(VLOOKUP(A18,'Inst Lending numbers'!A:D,4,FALSE)," ")</f>
        <v>0.16239999999999999</v>
      </c>
      <c r="J18" s="13"/>
      <c r="K18" s="13"/>
      <c r="L18" s="13"/>
      <c r="M18" s="13"/>
      <c r="N18" s="13"/>
      <c r="O18" s="13">
        <f t="shared" ca="1" si="2"/>
        <v>-0.12602095672146901</v>
      </c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>
        <v>0</v>
      </c>
      <c r="AB18" s="13">
        <f t="shared" si="3"/>
        <v>0.24</v>
      </c>
      <c r="AC18" s="13"/>
      <c r="AD18" s="13"/>
      <c r="AE18" s="13">
        <f>IFERROR(SUMIF('Weekly Rates'!D:D,A18,'Weekly Rates'!F:F)/COUNTIF('Weekly Rates'!D:D,A18),0)</f>
        <v>0</v>
      </c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 t="s">
        <v>303</v>
      </c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</row>
    <row r="19" spans="1:140">
      <c r="A19" s="9" t="s">
        <v>178</v>
      </c>
      <c r="B19" s="13"/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/>
      <c r="I19" s="14">
        <f>IFERROR(VLOOKUP(A19,'Inst Lending numbers'!A:D,4,FALSE)," ")</f>
        <v>6.4000000000000001E-2</v>
      </c>
      <c r="J19" s="13"/>
      <c r="K19" s="13"/>
      <c r="L19" s="13"/>
      <c r="M19" s="13"/>
      <c r="N19" s="13"/>
      <c r="O19" s="13">
        <f t="shared" ca="1" si="2"/>
        <v>-0.12602095672146901</v>
      </c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>
        <v>0</v>
      </c>
      <c r="AB19" s="13">
        <f t="shared" si="3"/>
        <v>0.24</v>
      </c>
      <c r="AC19" s="13"/>
      <c r="AD19" s="13"/>
      <c r="AE19" s="13">
        <f>IFERROR(SUMIF('Weekly Rates'!D:D,A19,'Weekly Rates'!F:F)/COUNTIF('Weekly Rates'!D:D,A19),0)</f>
        <v>0</v>
      </c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 t="s">
        <v>303</v>
      </c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</row>
    <row r="20" spans="1:140">
      <c r="A20" s="9" t="s">
        <v>179</v>
      </c>
      <c r="B20" s="13"/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/>
      <c r="I20" s="14">
        <f>IFERROR(VLOOKUP(A20,'Inst Lending numbers'!A:D,4,FALSE)," ")</f>
        <v>4.7600000000000003E-2</v>
      </c>
      <c r="J20" s="13">
        <v>0</v>
      </c>
      <c r="K20" s="13"/>
      <c r="L20" s="13"/>
      <c r="M20" s="13"/>
      <c r="N20" s="13"/>
      <c r="O20" s="13">
        <f t="shared" ca="1" si="2"/>
        <v>-0.12602095672146901</v>
      </c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>
        <v>0</v>
      </c>
      <c r="AB20" s="13">
        <f t="shared" si="3"/>
        <v>0.24</v>
      </c>
      <c r="AC20" s="13"/>
      <c r="AD20" s="13"/>
      <c r="AE20" s="13">
        <f>IFERROR(SUMIF('Weekly Rates'!D:D,A20,'Weekly Rates'!F:F)/COUNTIF('Weekly Rates'!D:D,A20),0)</f>
        <v>3.0535900000000001E-2</v>
      </c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 t="s">
        <v>303</v>
      </c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</row>
    <row r="21" spans="1:140">
      <c r="A21" s="9" t="s">
        <v>180</v>
      </c>
      <c r="B21" s="13"/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/>
      <c r="I21" s="14">
        <f>IFERROR(VLOOKUP(A21,'Inst Lending numbers'!A:D,4,FALSE)," ")</f>
        <v>7.0400000000000004E-2</v>
      </c>
      <c r="J21" s="13"/>
      <c r="K21" s="13"/>
      <c r="L21" s="13"/>
      <c r="M21" s="13"/>
      <c r="N21" s="13"/>
      <c r="O21" s="13">
        <f t="shared" ca="1" si="2"/>
        <v>-0.12602095672146901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>
        <v>0</v>
      </c>
      <c r="AB21" s="13">
        <f t="shared" si="3"/>
        <v>0.24</v>
      </c>
      <c r="AC21" s="13"/>
      <c r="AD21" s="13"/>
      <c r="AE21" s="13">
        <f>IFERROR(SUMIF('Weekly Rates'!D:D,A21,'Weekly Rates'!F:F)/COUNTIF('Weekly Rates'!D:D,A21),0)</f>
        <v>0</v>
      </c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>
        <v>0.12</v>
      </c>
      <c r="AR21" s="13"/>
      <c r="AS21" s="13" t="s">
        <v>303</v>
      </c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</row>
    <row r="22" spans="1:140">
      <c r="A22" s="9" t="s">
        <v>181</v>
      </c>
      <c r="B22" s="13"/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/>
      <c r="I22" s="14">
        <f>IFERROR(VLOOKUP(A22,'Inst Lending numbers'!A:D,4,FALSE)," ")</f>
        <v>7.1599999999999997E-2</v>
      </c>
      <c r="J22" s="13"/>
      <c r="K22" s="13"/>
      <c r="L22" s="13"/>
      <c r="M22" s="13"/>
      <c r="N22" s="13"/>
      <c r="O22" s="13">
        <f t="shared" ca="1" si="2"/>
        <v>-0.12602095672146901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>
        <v>0</v>
      </c>
      <c r="AB22" s="13">
        <f t="shared" si="3"/>
        <v>0.24</v>
      </c>
      <c r="AC22" s="13"/>
      <c r="AD22" s="13"/>
      <c r="AE22" s="13">
        <f>IFERROR(SUMIF('Weekly Rates'!D:D,A22,'Weekly Rates'!F:F)/COUNTIF('Weekly Rates'!D:D,A22),0)</f>
        <v>8.7599999999999987E-3</v>
      </c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 t="s">
        <v>303</v>
      </c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</row>
    <row r="23" spans="1:140">
      <c r="A23" s="9" t="s">
        <v>182</v>
      </c>
      <c r="B23" s="13"/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/>
      <c r="I23" s="14" t="str">
        <f>IFERROR(VLOOKUP(A23,'Inst Lending numbers'!A:D,4,FALSE)," ")</f>
        <v xml:space="preserve"> </v>
      </c>
      <c r="J23" s="13"/>
      <c r="K23" s="13"/>
      <c r="L23" s="13"/>
      <c r="M23" s="13"/>
      <c r="N23" s="13"/>
      <c r="O23" s="13">
        <f t="shared" ca="1" si="2"/>
        <v>-0.12602095672146901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>
        <v>0</v>
      </c>
      <c r="AB23" s="13">
        <f t="shared" si="3"/>
        <v>0.24</v>
      </c>
      <c r="AC23" s="13"/>
      <c r="AD23" s="13"/>
      <c r="AE23" s="13">
        <f>IFERROR(SUMIF('Weekly Rates'!D:D,A23,'Weekly Rates'!F:F)/COUNTIF('Weekly Rates'!D:D,A23),0)</f>
        <v>0</v>
      </c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 t="s">
        <v>303</v>
      </c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</row>
    <row r="24" spans="1:140">
      <c r="A24" s="9" t="s">
        <v>183</v>
      </c>
      <c r="B24" s="13"/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/>
      <c r="I24" s="14" t="str">
        <f>IFERROR(VLOOKUP(A24,'Inst Lending numbers'!A:D,4,FALSE)," ")</f>
        <v xml:space="preserve"> </v>
      </c>
      <c r="J24" s="13"/>
      <c r="K24" s="13"/>
      <c r="L24" s="13"/>
      <c r="M24" s="13"/>
      <c r="N24" s="13"/>
      <c r="O24" s="13">
        <f t="shared" ca="1" si="2"/>
        <v>-0.12602095672146901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>
        <v>0</v>
      </c>
      <c r="AB24" s="13">
        <f t="shared" si="3"/>
        <v>0.24</v>
      </c>
      <c r="AC24" s="13"/>
      <c r="AD24" s="13"/>
      <c r="AE24" s="13">
        <f>IFERROR(SUMIF('Weekly Rates'!D:D,A24,'Weekly Rates'!F:F)/COUNTIF('Weekly Rates'!D:D,A24),0)</f>
        <v>0</v>
      </c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 t="s">
        <v>303</v>
      </c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</row>
    <row r="25" spans="1:140">
      <c r="A25" s="9" t="s">
        <v>184</v>
      </c>
      <c r="B25" s="13"/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/>
      <c r="I25" s="14" t="str">
        <f>IFERROR(VLOOKUP(A25,'Inst Lending numbers'!A:D,4,FALSE)," ")</f>
        <v xml:space="preserve"> </v>
      </c>
      <c r="J25" s="13"/>
      <c r="K25" s="13"/>
      <c r="L25" s="13"/>
      <c r="M25" s="13"/>
      <c r="N25" s="13"/>
      <c r="O25" s="13">
        <f t="shared" ca="1" si="2"/>
        <v>-0.12602095672146901</v>
      </c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>
        <v>0</v>
      </c>
      <c r="AB25" s="13">
        <f t="shared" si="3"/>
        <v>0.24</v>
      </c>
      <c r="AC25" s="13"/>
      <c r="AD25" s="13"/>
      <c r="AE25" s="13">
        <f>IFERROR(SUMIF('Weekly Rates'!D:D,A25,'Weekly Rates'!F:F)/COUNTIF('Weekly Rates'!D:D,A25),0)</f>
        <v>0</v>
      </c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 t="s">
        <v>303</v>
      </c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</row>
    <row r="26" spans="1:140" ht="15.75" customHeight="1">
      <c r="A26" s="9" t="s">
        <v>185</v>
      </c>
      <c r="B26" s="13"/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/>
      <c r="I26" s="14">
        <f>IFERROR(VLOOKUP(A26,'Inst Lending numbers'!A:D,4,FALSE)," ")</f>
        <v>3.1E-2</v>
      </c>
      <c r="J26" s="13">
        <v>0</v>
      </c>
      <c r="K26" s="13">
        <v>0</v>
      </c>
      <c r="L26" s="13"/>
      <c r="M26" s="13">
        <v>0</v>
      </c>
      <c r="N26" s="13">
        <v>0</v>
      </c>
      <c r="O26" s="13">
        <f t="shared" ca="1" si="2"/>
        <v>-0.12602095672146901</v>
      </c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>
        <v>0</v>
      </c>
      <c r="AB26" s="13">
        <f t="shared" si="3"/>
        <v>0.24</v>
      </c>
      <c r="AC26" s="13"/>
      <c r="AD26" s="13"/>
      <c r="AE26" s="13">
        <f>IFERROR(SUMIF('Weekly Rates'!D:D,A26,'Weekly Rates'!F:F)/COUNTIF('Weekly Rates'!D:D,A26),0)</f>
        <v>1.4979599999999999E-2</v>
      </c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>
        <v>0.3</v>
      </c>
      <c r="AS26" s="13">
        <v>5.6053715529999999E-2</v>
      </c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2"/>
      <c r="DQ26" s="13"/>
      <c r="DR26" s="13"/>
      <c r="DS26" s="13"/>
      <c r="DT26" s="13"/>
      <c r="DU26" s="13"/>
      <c r="DV26" s="13"/>
      <c r="DW26" s="13"/>
      <c r="DX26" s="13"/>
      <c r="DY26" s="13"/>
      <c r="DZ26" s="15"/>
      <c r="EA26" s="15"/>
      <c r="EB26" s="13"/>
      <c r="EC26" s="13"/>
      <c r="ED26" s="13"/>
      <c r="EE26" s="13"/>
      <c r="EF26" s="13"/>
      <c r="EG26" s="13"/>
      <c r="EH26" s="13"/>
      <c r="EI26" s="13"/>
      <c r="EJ26" s="13"/>
    </row>
    <row r="27" spans="1:140" ht="15.75" customHeight="1">
      <c r="A27" s="9" t="s">
        <v>186</v>
      </c>
      <c r="B27" s="13"/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/>
      <c r="I27" s="14" t="str">
        <f>IFERROR(VLOOKUP(A27,'Inst Lending numbers'!A:D,4,FALSE)," ")</f>
        <v xml:space="preserve"> </v>
      </c>
      <c r="J27" s="13"/>
      <c r="K27" s="13"/>
      <c r="L27" s="13"/>
      <c r="M27" s="13"/>
      <c r="N27" s="13"/>
      <c r="O27" s="13">
        <f t="shared" ca="1" si="2"/>
        <v>-0.12602095672146901</v>
      </c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>
        <v>0</v>
      </c>
      <c r="AB27" s="13">
        <f t="shared" si="3"/>
        <v>0.24</v>
      </c>
      <c r="AC27" s="13"/>
      <c r="AD27" s="13"/>
      <c r="AE27" s="13">
        <f>IFERROR(SUMIF('Weekly Rates'!D:D,A27,'Weekly Rates'!F:F)/COUNTIF('Weekly Rates'!D:D,A27),0)</f>
        <v>0</v>
      </c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 t="s">
        <v>303</v>
      </c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</row>
    <row r="28" spans="1:140" ht="15.75" customHeight="1">
      <c r="A28" s="9" t="s">
        <v>187</v>
      </c>
      <c r="B28" s="13"/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/>
      <c r="I28" s="14" t="str">
        <f>IFERROR(VLOOKUP(A28,'Inst Lending numbers'!A:D,4,FALSE)," ")</f>
        <v xml:space="preserve"> </v>
      </c>
      <c r="J28" s="13"/>
      <c r="K28" s="13"/>
      <c r="L28" s="13">
        <v>3.4000000000000002E-2</v>
      </c>
      <c r="M28" s="13"/>
      <c r="N28" s="13"/>
      <c r="O28" s="13">
        <f t="shared" ca="1" si="2"/>
        <v>-0.12602095672146901</v>
      </c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>
        <v>0</v>
      </c>
      <c r="AB28" s="13">
        <f t="shared" si="3"/>
        <v>0.24</v>
      </c>
      <c r="AC28" s="13"/>
      <c r="AD28" s="13"/>
      <c r="AE28" s="13">
        <f>IFERROR(SUMIF('Weekly Rates'!D:D,A28,'Weekly Rates'!F:F)/COUNTIF('Weekly Rates'!D:D,A28),0)</f>
        <v>0</v>
      </c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 t="s">
        <v>303</v>
      </c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</row>
    <row r="29" spans="1:140" ht="15.75" customHeight="1">
      <c r="A29" s="9" t="s">
        <v>151</v>
      </c>
      <c r="B29" s="13"/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4">
        <f>IFERROR(VLOOKUP(A29,'Inst Lending numbers'!A:D,4,FALSE)," ")</f>
        <v>0</v>
      </c>
      <c r="J29" s="13"/>
      <c r="K29" s="13">
        <v>0</v>
      </c>
      <c r="L29" s="13"/>
      <c r="M29" s="13"/>
      <c r="N29" s="13"/>
      <c r="O29" s="13">
        <f t="shared" ca="1" si="2"/>
        <v>-0.12602095672146901</v>
      </c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>
        <v>0</v>
      </c>
      <c r="AB29" s="13">
        <f t="shared" si="3"/>
        <v>0.24</v>
      </c>
      <c r="AC29" s="13"/>
      <c r="AD29" s="13"/>
      <c r="AE29" s="13">
        <f>IFERROR(SUMIF('Weekly Rates'!D:D,A29,'Weekly Rates'!F:F)/COUNTIF('Weekly Rates'!D:D,A29),0)</f>
        <v>0</v>
      </c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 t="s">
        <v>303</v>
      </c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</row>
    <row r="30" spans="1:140" ht="15.75" customHeight="1">
      <c r="A30" s="9" t="s">
        <v>188</v>
      </c>
      <c r="B30" s="13"/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/>
      <c r="I30" s="14">
        <f>IFERROR(VLOOKUP(A30,'Inst Lending numbers'!A:D,4,FALSE)," ")</f>
        <v>7.7799999999999994E-2</v>
      </c>
      <c r="J30" s="13"/>
      <c r="K30" s="13"/>
      <c r="L30" s="13"/>
      <c r="M30" s="13"/>
      <c r="N30" s="13"/>
      <c r="O30" s="13">
        <f t="shared" ca="1" si="2"/>
        <v>-0.12602095672146901</v>
      </c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>
        <v>0</v>
      </c>
      <c r="AB30" s="13">
        <f t="shared" si="3"/>
        <v>0.24</v>
      </c>
      <c r="AC30" s="13"/>
      <c r="AD30" s="13"/>
      <c r="AE30" s="13">
        <f>IFERROR(SUMIF('Weekly Rates'!D:D,A30,'Weekly Rates'!F:F)/COUNTIF('Weekly Rates'!D:D,A30),0)</f>
        <v>0</v>
      </c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 t="s">
        <v>303</v>
      </c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</row>
    <row r="31" spans="1:140" ht="15.75" customHeight="1">
      <c r="A31" s="7" t="s">
        <v>189</v>
      </c>
      <c r="B31" s="13"/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/>
      <c r="I31" s="14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 t="s">
        <v>303</v>
      </c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</row>
    <row r="32" spans="1:140" ht="15.75" customHeight="1">
      <c r="A32" s="9" t="s">
        <v>190</v>
      </c>
      <c r="B32" s="13"/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/>
      <c r="I32" s="14">
        <f>IFERROR(VLOOKUP(A32,'Inst Lending numbers'!A:D,4,FALSE)," ")</f>
        <v>0.12640000000000001</v>
      </c>
      <c r="J32" s="13"/>
      <c r="K32" s="13"/>
      <c r="L32" s="13"/>
      <c r="M32" s="13"/>
      <c r="N32" s="13"/>
      <c r="O32" s="13">
        <f t="shared" ref="O32:O36" ca="1" si="4">$O$4</f>
        <v>-0.12602095672146901</v>
      </c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>
        <v>0</v>
      </c>
      <c r="AB32" s="13">
        <f t="shared" ref="AB32:AB36" si="5">$AB$4</f>
        <v>0.24</v>
      </c>
      <c r="AC32" s="13"/>
      <c r="AD32" s="13"/>
      <c r="AE32" s="13">
        <f>IFERROR(SUMIF('Weekly Rates'!D:D,A32,'Weekly Rates'!F:F)/COUNTIF('Weekly Rates'!D:D,A32),0)</f>
        <v>0</v>
      </c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 t="s">
        <v>303</v>
      </c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</row>
    <row r="33" spans="1:140" ht="15.75" customHeight="1">
      <c r="A33" s="9" t="s">
        <v>191</v>
      </c>
      <c r="B33" s="13"/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/>
      <c r="I33" s="14" t="str">
        <f>IFERROR(VLOOKUP(A33,'Inst Lending numbers'!A:D,4,FALSE)," ")</f>
        <v xml:space="preserve"> </v>
      </c>
      <c r="J33" s="13"/>
      <c r="K33" s="13"/>
      <c r="L33" s="13"/>
      <c r="M33" s="7" t="s">
        <v>168</v>
      </c>
      <c r="N33" s="13"/>
      <c r="O33" s="13">
        <f t="shared" ca="1" si="4"/>
        <v>-0.12602095672146901</v>
      </c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>
        <v>0</v>
      </c>
      <c r="AB33" s="13">
        <f t="shared" si="5"/>
        <v>0.24</v>
      </c>
      <c r="AC33" s="13"/>
      <c r="AD33" s="13"/>
      <c r="AE33" s="13">
        <f>IFERROR(SUMIF('Weekly Rates'!D:D,A33,'Weekly Rates'!F:F)/COUNTIF('Weekly Rates'!D:D,A33),0)</f>
        <v>0</v>
      </c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 t="s">
        <v>303</v>
      </c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</row>
    <row r="34" spans="1:140" ht="15.75" customHeight="1">
      <c r="A34" s="9" t="s">
        <v>192</v>
      </c>
      <c r="B34" s="13"/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/>
      <c r="I34" s="14">
        <f>IFERROR(VLOOKUP(A34,'Inst Lending numbers'!A:D,4,FALSE)," ")</f>
        <v>4.2500000000000003E-2</v>
      </c>
      <c r="J34" s="13"/>
      <c r="K34" s="13"/>
      <c r="L34" s="13"/>
      <c r="M34" s="13"/>
      <c r="N34" s="13"/>
      <c r="O34" s="13">
        <f t="shared" ca="1" si="4"/>
        <v>-0.12602095672146901</v>
      </c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>
        <v>0</v>
      </c>
      <c r="AB34" s="13">
        <f t="shared" si="5"/>
        <v>0.24</v>
      </c>
      <c r="AC34" s="13"/>
      <c r="AD34" s="13"/>
      <c r="AE34" s="13">
        <f>IFERROR(SUMIF('Weekly Rates'!D:D,A34,'Weekly Rates'!F:F)/COUNTIF('Weekly Rates'!D:D,A34),0)</f>
        <v>0</v>
      </c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>
        <v>0.02</v>
      </c>
      <c r="AR34" s="13"/>
      <c r="AS34" s="13" t="s">
        <v>303</v>
      </c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</row>
    <row r="35" spans="1:140" ht="15.75" customHeight="1">
      <c r="A35" s="9" t="s">
        <v>193</v>
      </c>
      <c r="B35" s="13"/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/>
      <c r="I35" s="14" t="str">
        <f>IFERROR(VLOOKUP(A35,'Inst Lending numbers'!A:D,4,FALSE)," ")</f>
        <v xml:space="preserve"> </v>
      </c>
      <c r="J35" s="13"/>
      <c r="K35" s="13"/>
      <c r="L35" s="13"/>
      <c r="M35" s="13"/>
      <c r="N35" s="13"/>
      <c r="O35" s="13">
        <f t="shared" ca="1" si="4"/>
        <v>-0.12602095672146901</v>
      </c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>
        <v>0</v>
      </c>
      <c r="AB35" s="13">
        <f t="shared" si="5"/>
        <v>0.24</v>
      </c>
      <c r="AC35" s="13"/>
      <c r="AD35" s="13"/>
      <c r="AE35" s="13">
        <f>IFERROR(SUMIF('Weekly Rates'!D:D,A35,'Weekly Rates'!F:F)/COUNTIF('Weekly Rates'!D:D,A35),0)</f>
        <v>0</v>
      </c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 t="s">
        <v>303</v>
      </c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</row>
    <row r="36" spans="1:140" ht="15.75" customHeight="1">
      <c r="A36" s="9" t="s">
        <v>194</v>
      </c>
      <c r="B36" s="13"/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/>
      <c r="I36" s="14">
        <f>IFERROR(VLOOKUP(A36,'Inst Lending numbers'!A:D,4,FALSE)," ")</f>
        <v>9.0399999999999994E-2</v>
      </c>
      <c r="J36" s="13"/>
      <c r="K36" s="13"/>
      <c r="L36" s="13"/>
      <c r="M36" s="13"/>
      <c r="N36" s="13">
        <v>0</v>
      </c>
      <c r="O36" s="13">
        <f t="shared" ca="1" si="4"/>
        <v>-0.12602095672146901</v>
      </c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>
        <v>0</v>
      </c>
      <c r="AB36" s="13">
        <f t="shared" si="5"/>
        <v>0.24</v>
      </c>
      <c r="AC36" s="13"/>
      <c r="AD36" s="13"/>
      <c r="AE36" s="13">
        <f>IFERROR(SUMIF('Weekly Rates'!D:D,A36,'Weekly Rates'!F:F)/COUNTIF('Weekly Rates'!D:D,A36),0)</f>
        <v>0</v>
      </c>
      <c r="AF36" s="13"/>
      <c r="AG36" s="13"/>
      <c r="AH36" s="13"/>
      <c r="AI36" s="13"/>
      <c r="AJ36" s="13"/>
      <c r="AK36" s="13"/>
      <c r="AL36" s="13"/>
      <c r="AM36" s="13"/>
      <c r="AN36" s="13">
        <v>0.1</v>
      </c>
      <c r="AO36" s="13"/>
      <c r="AP36" s="13">
        <v>0.12</v>
      </c>
      <c r="AQ36" s="13">
        <v>0.14000000000000001</v>
      </c>
      <c r="AR36" s="13"/>
      <c r="AS36" s="13" t="s">
        <v>303</v>
      </c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</row>
    <row r="37" spans="1:140" ht="15.75" customHeight="1">
      <c r="A37" s="7" t="s">
        <v>195</v>
      </c>
      <c r="B37" s="13">
        <v>0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/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 t="s">
        <v>303</v>
      </c>
      <c r="AT37" s="13">
        <v>0</v>
      </c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</row>
    <row r="38" spans="1:140" ht="15.75" customHeight="1">
      <c r="A38" s="9" t="s">
        <v>196</v>
      </c>
      <c r="B38" s="13"/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/>
      <c r="I38" s="14">
        <f>IFERROR(VLOOKUP(A38,'Inst Lending numbers'!A:D,4,FALSE)," ")</f>
        <v>6.7299999999999999E-2</v>
      </c>
      <c r="J38" s="13"/>
      <c r="K38" s="13"/>
      <c r="L38" s="13"/>
      <c r="M38" s="13"/>
      <c r="N38" s="13"/>
      <c r="O38" s="13">
        <f t="shared" ref="O38:O42" ca="1" si="6">$O$4</f>
        <v>-0.12602095672146901</v>
      </c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>
        <v>0</v>
      </c>
      <c r="AB38" s="13">
        <f t="shared" ref="AB38:AB63" si="7">$AB$4</f>
        <v>0.24</v>
      </c>
      <c r="AC38" s="13"/>
      <c r="AD38" s="13"/>
      <c r="AE38" s="13">
        <f>IFERROR(SUMIF('Weekly Rates'!D:D,A38,'Weekly Rates'!F:F)/COUNTIF('Weekly Rates'!D:D,A38),0)</f>
        <v>0</v>
      </c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 t="s">
        <v>303</v>
      </c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</row>
    <row r="39" spans="1:140" ht="15.75" customHeight="1">
      <c r="A39" s="9" t="s">
        <v>197</v>
      </c>
      <c r="B39" s="13"/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/>
      <c r="I39" s="14">
        <f>IFERROR(VLOOKUP(A39,'Inst Lending numbers'!A:D,4,FALSE)," ")</f>
        <v>0.05</v>
      </c>
      <c r="J39" s="13"/>
      <c r="K39" s="13"/>
      <c r="L39" s="13"/>
      <c r="M39" s="13">
        <v>0</v>
      </c>
      <c r="N39" s="13"/>
      <c r="O39" s="13">
        <f t="shared" ca="1" si="6"/>
        <v>-0.12602095672146901</v>
      </c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>
        <v>0</v>
      </c>
      <c r="AB39" s="13">
        <f t="shared" si="7"/>
        <v>0.24</v>
      </c>
      <c r="AC39" s="13"/>
      <c r="AD39" s="13"/>
      <c r="AE39" s="13">
        <f>IFERROR(SUMIF('Weekly Rates'!D:D,A39,'Weekly Rates'!F:F)/COUNTIF('Weekly Rates'!D:D,A39),0)</f>
        <v>0</v>
      </c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 t="s">
        <v>303</v>
      </c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</row>
    <row r="40" spans="1:140" ht="15.75" customHeight="1">
      <c r="A40" s="9" t="s">
        <v>198</v>
      </c>
      <c r="B40" s="13"/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4">
        <f>IFERROR(VLOOKUP(A40,'Inst Lending numbers'!A:D,4,FALSE)," ")</f>
        <v>4.3099999999999999E-2</v>
      </c>
      <c r="J40" s="13">
        <v>0</v>
      </c>
      <c r="K40" s="13">
        <v>0</v>
      </c>
      <c r="L40" s="13"/>
      <c r="M40" s="13">
        <v>0</v>
      </c>
      <c r="N40" s="13">
        <v>0</v>
      </c>
      <c r="O40" s="13">
        <f t="shared" ca="1" si="6"/>
        <v>-0.12602095672146901</v>
      </c>
      <c r="P40" s="13"/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f t="shared" si="7"/>
        <v>0.24</v>
      </c>
      <c r="AC40" s="13">
        <v>0</v>
      </c>
      <c r="AD40" s="13">
        <v>0</v>
      </c>
      <c r="AE40" s="13">
        <f>IFERROR(SUMIF('Weekly Rates'!D:D,A40,'Weekly Rates'!F:F)/COUNTIF('Weekly Rates'!D:D,A40),0)</f>
        <v>1.3994100000000001E-2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0.04</v>
      </c>
      <c r="AO40" s="13">
        <v>0</v>
      </c>
      <c r="AP40" s="13">
        <v>0</v>
      </c>
      <c r="AQ40" s="13">
        <v>0</v>
      </c>
      <c r="AR40" s="13">
        <v>0</v>
      </c>
      <c r="AS40" s="13">
        <v>5.4380777810000003E-2</v>
      </c>
      <c r="AT40" s="13">
        <v>0</v>
      </c>
      <c r="AU40" s="13">
        <f>SUMIF('Weekly Rates'!A:A,A40,'Weekly Rates'!B:B)</f>
        <v>0.12659999999999999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3">
        <v>0</v>
      </c>
      <c r="BB40" s="13">
        <v>0</v>
      </c>
      <c r="BC40" s="13">
        <v>3.0000000000000001E-3</v>
      </c>
      <c r="BD40" s="13">
        <v>4.3E-3</v>
      </c>
      <c r="BE40" s="13">
        <v>0</v>
      </c>
      <c r="BF40" s="13">
        <v>0</v>
      </c>
      <c r="BG40" s="13">
        <v>0</v>
      </c>
      <c r="BH40" s="13">
        <v>1.4E-2</v>
      </c>
      <c r="BI40" s="13">
        <v>4.2599999999999999E-2</v>
      </c>
      <c r="BJ40" s="13">
        <v>4.87E-2</v>
      </c>
      <c r="BK40" s="13">
        <v>0</v>
      </c>
      <c r="BL40" s="13">
        <v>0</v>
      </c>
      <c r="BM40" s="13">
        <v>0</v>
      </c>
      <c r="BN40" s="13">
        <v>0</v>
      </c>
      <c r="BO40" s="13">
        <v>0.04</v>
      </c>
      <c r="BP40" s="13">
        <v>0</v>
      </c>
      <c r="BQ40" s="13">
        <v>0</v>
      </c>
      <c r="BR40" s="13">
        <v>0</v>
      </c>
      <c r="BS40" s="13">
        <v>0</v>
      </c>
      <c r="BT40" s="13">
        <v>0</v>
      </c>
      <c r="BU40" s="13">
        <v>0</v>
      </c>
      <c r="BV40" s="13">
        <v>0</v>
      </c>
      <c r="BW40" s="13">
        <v>0</v>
      </c>
      <c r="BX40" s="13">
        <v>0</v>
      </c>
      <c r="BY40" s="13">
        <v>0</v>
      </c>
      <c r="BZ40" s="13">
        <v>0</v>
      </c>
      <c r="CA40" s="13">
        <v>0</v>
      </c>
      <c r="CB40" s="13">
        <v>0</v>
      </c>
      <c r="CC40" s="13">
        <v>0</v>
      </c>
      <c r="CD40" s="13">
        <v>0</v>
      </c>
      <c r="CE40" s="13">
        <v>0</v>
      </c>
      <c r="CF40" s="13">
        <v>0</v>
      </c>
      <c r="CG40" s="13">
        <v>0</v>
      </c>
      <c r="CH40" s="13">
        <v>0</v>
      </c>
      <c r="CI40" s="13">
        <f ca="1">IFERROR(__xludf.DUMMYFUNCTION("importrange(""https://docs.google.com/spreadsheets/d/1sEJbnmLMGxlqg2Slrotvc3YAgqP9DQwYm8VpUh_GslY/edit#gid=0"",""Sheet1!C14"")"),0.0204)</f>
        <v>2.0400000000000001E-2</v>
      </c>
      <c r="CJ40" s="13">
        <v>0</v>
      </c>
      <c r="CK40" s="13">
        <v>0.15</v>
      </c>
      <c r="CL40" s="13">
        <v>0</v>
      </c>
      <c r="CM40" s="13">
        <f ca="1">IFERROR(__xludf.DUMMYFUNCTION("importrange(""https://docs.google.com/spreadsheets/d/1sEJbnmLMGxlqg2Slrotvc3YAgqP9DQwYm8VpUh_GslY/edit#gid=0"",""Sheet1!C23"")"),0.0164)</f>
        <v>1.6400000000000001E-2</v>
      </c>
      <c r="CN40" s="13">
        <f ca="1">IFERROR(__xludf.DUMMYFUNCTION("importrange(""https://docs.google.com/spreadsheets/d/1sEJbnmLMGxlqg2Slrotvc3YAgqP9DQwYm8VpUh_GslY/edit#gid=0"",""Sheet1!C25"")"),0.0661)</f>
        <v>6.6100000000000006E-2</v>
      </c>
      <c r="CO40" s="13">
        <f ca="1">IFERROR(__xludf.DUMMYFUNCTION("importrange(""https://docs.google.com/spreadsheets/d/1sEJbnmLMGxlqg2Slrotvc3YAgqP9DQwYm8VpUh_GslY/edit#gid=0"",""Sheet1!C41"")"),0)</f>
        <v>0</v>
      </c>
      <c r="CP40" s="13">
        <v>0</v>
      </c>
      <c r="CQ40" s="13">
        <v>0</v>
      </c>
      <c r="CR40" s="13">
        <v>0</v>
      </c>
      <c r="CS40" s="13">
        <v>0</v>
      </c>
      <c r="CT40" s="13">
        <v>0</v>
      </c>
      <c r="CU40" s="13">
        <v>0</v>
      </c>
      <c r="CV40" s="13">
        <v>0</v>
      </c>
      <c r="CW40" s="13">
        <v>0</v>
      </c>
      <c r="CX40" s="13">
        <v>0</v>
      </c>
      <c r="CY40" s="13">
        <v>2.7300000000000001E-2</v>
      </c>
      <c r="CZ40" s="13">
        <f ca="1">IFERROR(__xludf.DUMMYFUNCTION("importrange(""https://docs.google.com/spreadsheets/d/1sEJbnmLMGxlqg2Slrotvc3YAgqP9DQwYm8VpUh_GslY/edit#gid=0"",""Sheet1!C32"")"),0.0118)</f>
        <v>1.18E-2</v>
      </c>
      <c r="DA40" s="13">
        <v>0</v>
      </c>
      <c r="DB40" s="13">
        <v>0</v>
      </c>
      <c r="DC40" s="13">
        <v>0</v>
      </c>
      <c r="DD40" s="13">
        <v>0</v>
      </c>
      <c r="DE40" s="13">
        <v>0</v>
      </c>
      <c r="DF40" s="13">
        <v>0</v>
      </c>
      <c r="DG40" s="13">
        <v>0</v>
      </c>
      <c r="DH40" s="13">
        <v>0</v>
      </c>
      <c r="DI40" s="13">
        <v>0</v>
      </c>
      <c r="DJ40" s="13">
        <v>0</v>
      </c>
      <c r="DK40" s="13">
        <v>0</v>
      </c>
      <c r="DL40" s="13">
        <v>0</v>
      </c>
      <c r="DM40" s="13">
        <v>0</v>
      </c>
      <c r="DN40" s="13">
        <v>0</v>
      </c>
      <c r="DO40" s="13">
        <v>0</v>
      </c>
      <c r="DP40" s="13">
        <v>0</v>
      </c>
      <c r="DQ40" s="13">
        <v>0</v>
      </c>
      <c r="DR40" s="13">
        <v>0</v>
      </c>
      <c r="DS40" s="13">
        <v>0</v>
      </c>
      <c r="DT40" s="13">
        <v>0</v>
      </c>
      <c r="DU40" s="13">
        <v>0.14000000000000001</v>
      </c>
      <c r="DV40" s="13">
        <v>0</v>
      </c>
      <c r="DW40" s="13">
        <v>0</v>
      </c>
      <c r="DX40" s="13">
        <v>0</v>
      </c>
      <c r="DY40" s="15">
        <v>0.15</v>
      </c>
      <c r="DZ40" s="13">
        <v>0</v>
      </c>
      <c r="EA40" s="13">
        <v>0</v>
      </c>
      <c r="EB40" s="13">
        <v>0</v>
      </c>
      <c r="EC40" s="13">
        <v>0</v>
      </c>
      <c r="ED40" s="13">
        <v>0</v>
      </c>
      <c r="EE40" s="13">
        <v>0</v>
      </c>
      <c r="EF40" s="13">
        <v>0</v>
      </c>
      <c r="EG40" s="13">
        <v>0</v>
      </c>
      <c r="EH40" s="13">
        <v>0</v>
      </c>
      <c r="EI40" s="13">
        <v>0</v>
      </c>
      <c r="EJ40" s="13">
        <v>0</v>
      </c>
    </row>
    <row r="41" spans="1:140" ht="15.75" customHeight="1">
      <c r="A41" s="9" t="s">
        <v>199</v>
      </c>
      <c r="B41" s="13"/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/>
      <c r="I41" s="14" t="str">
        <f>IFERROR(VLOOKUP(A41,'Inst Lending numbers'!A:D,4,FALSE)," ")</f>
        <v xml:space="preserve"> </v>
      </c>
      <c r="J41" s="13"/>
      <c r="K41" s="13"/>
      <c r="L41" s="13"/>
      <c r="M41" s="13"/>
      <c r="N41" s="13"/>
      <c r="O41" s="13">
        <f t="shared" ca="1" si="6"/>
        <v>-0.12602095672146901</v>
      </c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>
        <v>0</v>
      </c>
      <c r="AB41" s="13">
        <f t="shared" si="7"/>
        <v>0.24</v>
      </c>
      <c r="AC41" s="13"/>
      <c r="AD41" s="13"/>
      <c r="AE41" s="13">
        <f>IFERROR(SUMIF('Weekly Rates'!D:D,A41,'Weekly Rates'!F:F)/COUNTIF('Weekly Rates'!D:D,A41),0)</f>
        <v>0</v>
      </c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 t="s">
        <v>303</v>
      </c>
      <c r="AT41" s="13"/>
      <c r="AU41" s="13">
        <f>SUMIF('Weekly Rates'!A:A,A41,'Weekly Rates'!B:B)</f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0</v>
      </c>
      <c r="BE41" s="13">
        <v>0</v>
      </c>
      <c r="BF41" s="13">
        <v>0</v>
      </c>
      <c r="BG41" s="13">
        <v>0</v>
      </c>
      <c r="BH41" s="13">
        <v>0</v>
      </c>
      <c r="BI41" s="13">
        <v>0</v>
      </c>
      <c r="BJ41" s="13">
        <v>0</v>
      </c>
      <c r="BK41" s="13">
        <v>0</v>
      </c>
      <c r="BL41" s="13">
        <v>0</v>
      </c>
      <c r="BM41" s="13">
        <v>0</v>
      </c>
      <c r="BN41" s="13">
        <v>0</v>
      </c>
      <c r="BO41" s="13">
        <v>0</v>
      </c>
      <c r="BP41" s="13">
        <v>0</v>
      </c>
      <c r="BQ41" s="13">
        <v>0</v>
      </c>
      <c r="BR41" s="13">
        <v>0</v>
      </c>
      <c r="BS41" s="13">
        <v>0</v>
      </c>
      <c r="BT41" s="13">
        <v>0</v>
      </c>
      <c r="BU41" s="13">
        <v>0</v>
      </c>
      <c r="BV41" s="13">
        <v>0</v>
      </c>
      <c r="BW41" s="13">
        <v>0</v>
      </c>
      <c r="BX41" s="13">
        <v>0</v>
      </c>
      <c r="BY41" s="13">
        <v>0</v>
      </c>
      <c r="BZ41" s="13">
        <v>0</v>
      </c>
      <c r="CA41" s="13">
        <v>0</v>
      </c>
      <c r="CB41" s="13">
        <v>0</v>
      </c>
      <c r="CC41" s="13">
        <v>0</v>
      </c>
      <c r="CD41" s="13">
        <v>0</v>
      </c>
      <c r="CE41" s="13">
        <v>0</v>
      </c>
      <c r="CF41" s="13">
        <v>0</v>
      </c>
      <c r="CG41" s="13">
        <v>0</v>
      </c>
      <c r="CH41" s="13">
        <v>0</v>
      </c>
      <c r="CI41" s="13">
        <v>0</v>
      </c>
      <c r="CJ41" s="13">
        <v>0</v>
      </c>
      <c r="CK41" s="13">
        <v>0</v>
      </c>
      <c r="CL41" s="13">
        <v>0</v>
      </c>
      <c r="CM41" s="13">
        <v>0</v>
      </c>
      <c r="CN41" s="13">
        <v>0</v>
      </c>
      <c r="CO41" s="13">
        <v>0</v>
      </c>
      <c r="CP41" s="13">
        <v>0</v>
      </c>
      <c r="CQ41" s="13">
        <v>0</v>
      </c>
      <c r="CR41" s="13">
        <v>0</v>
      </c>
      <c r="CS41" s="13">
        <v>0</v>
      </c>
      <c r="CT41" s="13">
        <v>0</v>
      </c>
      <c r="CU41" s="13">
        <v>0</v>
      </c>
      <c r="CV41" s="13">
        <v>0</v>
      </c>
      <c r="CW41" s="13">
        <v>0</v>
      </c>
      <c r="CX41" s="13">
        <v>0</v>
      </c>
      <c r="CY41" s="13">
        <v>0</v>
      </c>
      <c r="CZ41" s="13">
        <v>0</v>
      </c>
      <c r="DA41" s="13">
        <v>0</v>
      </c>
      <c r="DB41" s="13">
        <v>0</v>
      </c>
      <c r="DC41" s="13">
        <v>0</v>
      </c>
      <c r="DD41" s="13">
        <v>0</v>
      </c>
      <c r="DE41" s="13">
        <v>0</v>
      </c>
      <c r="DF41" s="13">
        <v>0</v>
      </c>
      <c r="DG41" s="13">
        <v>0</v>
      </c>
      <c r="DH41" s="13">
        <v>0</v>
      </c>
      <c r="DI41" s="13">
        <v>0</v>
      </c>
      <c r="DJ41" s="13">
        <v>0</v>
      </c>
      <c r="DK41" s="13">
        <v>0</v>
      </c>
      <c r="DL41" s="13">
        <v>0</v>
      </c>
      <c r="DM41" s="13">
        <v>0</v>
      </c>
      <c r="DN41" s="13">
        <v>0</v>
      </c>
      <c r="DO41" s="13">
        <v>0</v>
      </c>
      <c r="DP41" s="13">
        <v>0</v>
      </c>
      <c r="DQ41" s="13">
        <v>0</v>
      </c>
      <c r="DR41" s="13">
        <v>0</v>
      </c>
      <c r="DS41" s="13">
        <v>0</v>
      </c>
      <c r="DT41" s="13"/>
      <c r="DU41" s="13">
        <v>0</v>
      </c>
      <c r="DV41" s="13">
        <v>0</v>
      </c>
      <c r="DW41" s="13">
        <v>0</v>
      </c>
      <c r="DX41" s="13"/>
      <c r="DY41" s="13">
        <v>0</v>
      </c>
      <c r="DZ41" s="13">
        <v>0</v>
      </c>
      <c r="EA41" s="13">
        <v>0</v>
      </c>
      <c r="EB41" s="13">
        <v>0</v>
      </c>
      <c r="EC41" s="13">
        <v>0</v>
      </c>
      <c r="ED41" s="13">
        <v>0</v>
      </c>
      <c r="EE41" s="13">
        <v>0</v>
      </c>
      <c r="EF41" s="13">
        <v>0</v>
      </c>
      <c r="EG41" s="13">
        <v>0</v>
      </c>
      <c r="EH41" s="13">
        <v>0</v>
      </c>
      <c r="EI41" s="13">
        <v>0</v>
      </c>
      <c r="EJ41" s="13">
        <v>0</v>
      </c>
    </row>
    <row r="42" spans="1:140" ht="15.75" customHeight="1">
      <c r="A42" s="9" t="s">
        <v>200</v>
      </c>
      <c r="B42" s="13"/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/>
      <c r="I42" s="14" t="str">
        <f>IFERROR(VLOOKUP(A42,'Inst Lending numbers'!A:D,4,FALSE)," ")</f>
        <v xml:space="preserve"> </v>
      </c>
      <c r="J42" s="13"/>
      <c r="K42" s="13"/>
      <c r="L42" s="13"/>
      <c r="M42" s="13"/>
      <c r="N42" s="13"/>
      <c r="O42" s="13">
        <f t="shared" ca="1" si="6"/>
        <v>-0.12602095672146901</v>
      </c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>
        <v>0</v>
      </c>
      <c r="AB42" s="13">
        <f t="shared" si="7"/>
        <v>0.24</v>
      </c>
      <c r="AC42" s="13"/>
      <c r="AD42" s="13"/>
      <c r="AE42" s="13">
        <f>IFERROR(SUMIF('Weekly Rates'!D:D,A42,'Weekly Rates'!F:F)/COUNTIF('Weekly Rates'!D:D,A42),0)</f>
        <v>0</v>
      </c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 t="s">
        <v>303</v>
      </c>
      <c r="AT42" s="13"/>
      <c r="AU42" s="13">
        <f>SUMIF('Weekly Rates'!A:A,A42,'Weekly Rates'!B:B)</f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0</v>
      </c>
      <c r="BD42" s="13">
        <v>0</v>
      </c>
      <c r="BE42" s="13">
        <v>0</v>
      </c>
      <c r="BF42" s="13">
        <v>0</v>
      </c>
      <c r="BG42" s="13">
        <v>0</v>
      </c>
      <c r="BH42" s="13">
        <v>0</v>
      </c>
      <c r="BI42" s="13">
        <v>0</v>
      </c>
      <c r="BJ42" s="13">
        <v>0</v>
      </c>
      <c r="BK42" s="13">
        <v>0</v>
      </c>
      <c r="BL42" s="13">
        <v>0</v>
      </c>
      <c r="BM42" s="13">
        <v>0</v>
      </c>
      <c r="BN42" s="13">
        <v>0</v>
      </c>
      <c r="BO42" s="13">
        <v>0</v>
      </c>
      <c r="BP42" s="13">
        <v>0</v>
      </c>
      <c r="BQ42" s="13">
        <v>0</v>
      </c>
      <c r="BR42" s="13">
        <v>0</v>
      </c>
      <c r="BS42" s="13">
        <v>0</v>
      </c>
      <c r="BT42" s="13">
        <v>0</v>
      </c>
      <c r="BU42" s="13">
        <v>0</v>
      </c>
      <c r="BV42" s="13">
        <v>0</v>
      </c>
      <c r="BW42" s="13">
        <v>0</v>
      </c>
      <c r="BX42" s="13">
        <v>0</v>
      </c>
      <c r="BY42" s="13">
        <v>0</v>
      </c>
      <c r="BZ42" s="13">
        <v>0</v>
      </c>
      <c r="CA42" s="13">
        <v>0</v>
      </c>
      <c r="CB42" s="13">
        <v>0</v>
      </c>
      <c r="CC42" s="13">
        <v>0</v>
      </c>
      <c r="CD42" s="13">
        <v>0</v>
      </c>
      <c r="CE42" s="13">
        <v>0</v>
      </c>
      <c r="CF42" s="13">
        <v>0</v>
      </c>
      <c r="CG42" s="13">
        <v>0</v>
      </c>
      <c r="CH42" s="13">
        <v>0</v>
      </c>
      <c r="CI42" s="13">
        <v>0</v>
      </c>
      <c r="CJ42" s="13">
        <v>0</v>
      </c>
      <c r="CK42" s="13">
        <v>0</v>
      </c>
      <c r="CL42" s="13">
        <v>0</v>
      </c>
      <c r="CM42" s="13">
        <v>0</v>
      </c>
      <c r="CN42" s="13">
        <v>0</v>
      </c>
      <c r="CO42" s="13">
        <v>0</v>
      </c>
      <c r="CP42" s="13">
        <v>0</v>
      </c>
      <c r="CQ42" s="13">
        <v>0</v>
      </c>
      <c r="CR42" s="13">
        <v>0</v>
      </c>
      <c r="CS42" s="13">
        <v>0</v>
      </c>
      <c r="CT42" s="13">
        <v>0</v>
      </c>
      <c r="CU42" s="13">
        <v>0</v>
      </c>
      <c r="CV42" s="13">
        <v>0</v>
      </c>
      <c r="CW42" s="13">
        <v>0</v>
      </c>
      <c r="CX42" s="13">
        <v>0</v>
      </c>
      <c r="CY42" s="13">
        <v>0</v>
      </c>
      <c r="CZ42" s="13">
        <v>0</v>
      </c>
      <c r="DA42" s="13">
        <v>0</v>
      </c>
      <c r="DB42" s="13">
        <v>0</v>
      </c>
      <c r="DC42" s="13">
        <v>0</v>
      </c>
      <c r="DD42" s="13">
        <v>0</v>
      </c>
      <c r="DE42" s="13">
        <v>0</v>
      </c>
      <c r="DF42" s="13">
        <v>0</v>
      </c>
      <c r="DG42" s="13">
        <v>0</v>
      </c>
      <c r="DH42" s="13">
        <v>0</v>
      </c>
      <c r="DI42" s="13">
        <v>0</v>
      </c>
      <c r="DJ42" s="13">
        <v>0</v>
      </c>
      <c r="DK42" s="13">
        <v>0</v>
      </c>
      <c r="DL42" s="13">
        <v>0</v>
      </c>
      <c r="DM42" s="13">
        <v>0</v>
      </c>
      <c r="DN42" s="13">
        <v>0</v>
      </c>
      <c r="DO42" s="13">
        <v>0</v>
      </c>
      <c r="DP42" s="13">
        <v>0</v>
      </c>
      <c r="DQ42" s="13">
        <v>0</v>
      </c>
      <c r="DR42" s="13">
        <v>0</v>
      </c>
      <c r="DS42" s="13">
        <v>0</v>
      </c>
      <c r="DT42" s="13"/>
      <c r="DU42" s="13">
        <v>0</v>
      </c>
      <c r="DV42" s="13">
        <v>0</v>
      </c>
      <c r="DW42" s="13">
        <v>0</v>
      </c>
      <c r="DX42" s="13"/>
      <c r="DY42" s="13">
        <v>0</v>
      </c>
      <c r="DZ42" s="13">
        <v>0</v>
      </c>
      <c r="EA42" s="13">
        <v>0</v>
      </c>
      <c r="EB42" s="13">
        <v>0</v>
      </c>
      <c r="EC42" s="13">
        <v>0</v>
      </c>
      <c r="ED42" s="13">
        <v>0</v>
      </c>
      <c r="EE42" s="13">
        <v>0</v>
      </c>
      <c r="EF42" s="13">
        <v>0</v>
      </c>
      <c r="EG42" s="13">
        <v>0</v>
      </c>
      <c r="EH42" s="13">
        <v>0</v>
      </c>
      <c r="EI42" s="13">
        <v>0</v>
      </c>
      <c r="EJ42" s="13">
        <v>0</v>
      </c>
    </row>
    <row r="43" spans="1:140" ht="15.75" customHeight="1">
      <c r="A43" s="7" t="s">
        <v>201</v>
      </c>
      <c r="B43" s="13"/>
      <c r="C43" s="13"/>
      <c r="D43" s="13"/>
      <c r="E43" s="13"/>
      <c r="F43" s="13"/>
      <c r="G43" s="13"/>
      <c r="H43" s="13"/>
      <c r="I43" s="14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>
        <v>0</v>
      </c>
      <c r="AB43" s="13">
        <f t="shared" si="7"/>
        <v>0.24</v>
      </c>
      <c r="AC43" s="13"/>
      <c r="AD43" s="13"/>
      <c r="AE43" s="13">
        <f>IFERROR(SUMIF('Weekly Rates'!D:D,A43,'Weekly Rates'!F:F)/COUNTIF('Weekly Rates'!D:D,A43),0)</f>
        <v>0</v>
      </c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 t="s">
        <v>303</v>
      </c>
      <c r="AT43" s="13"/>
      <c r="AU43" s="13"/>
      <c r="AV43" s="13"/>
      <c r="AW43" s="13">
        <v>0</v>
      </c>
      <c r="AX43" s="13"/>
      <c r="AY43" s="13">
        <v>0</v>
      </c>
      <c r="AZ43" s="13">
        <v>0</v>
      </c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</row>
    <row r="44" spans="1:140" ht="15.75" customHeight="1">
      <c r="A44" s="9" t="s">
        <v>202</v>
      </c>
      <c r="B44" s="13"/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/>
      <c r="I44" s="14">
        <f>IFERROR(VLOOKUP(A44,'Inst Lending numbers'!A:D,4,FALSE)," ")</f>
        <v>0.06</v>
      </c>
      <c r="J44" s="13"/>
      <c r="K44" s="13"/>
      <c r="L44" s="13"/>
      <c r="M44" s="13"/>
      <c r="N44" s="13"/>
      <c r="O44" s="13">
        <f t="shared" ref="O44:O63" ca="1" si="8">$O$4</f>
        <v>-0.12602095672146901</v>
      </c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>
        <v>0</v>
      </c>
      <c r="AB44" s="13">
        <f t="shared" si="7"/>
        <v>0.24</v>
      </c>
      <c r="AC44" s="13"/>
      <c r="AD44" s="13"/>
      <c r="AE44" s="13">
        <f>IFERROR(SUMIF('Weekly Rates'!D:D,A44,'Weekly Rates'!F:F)/COUNTIF('Weekly Rates'!D:D,A44),0)</f>
        <v>0</v>
      </c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 t="s">
        <v>303</v>
      </c>
      <c r="AT44" s="13"/>
      <c r="AU44" s="13">
        <f>SUMIF('Weekly Rates'!A:A,A44,'Weekly Rates'!B:B)</f>
        <v>0</v>
      </c>
      <c r="AV44" s="13">
        <v>0</v>
      </c>
      <c r="AW44" s="13">
        <v>0</v>
      </c>
      <c r="AX44" s="13">
        <v>0</v>
      </c>
      <c r="AY44" s="13">
        <v>0</v>
      </c>
      <c r="AZ44" s="13">
        <v>0</v>
      </c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</row>
    <row r="45" spans="1:140" ht="15.75" customHeight="1">
      <c r="A45" s="9" t="s">
        <v>203</v>
      </c>
      <c r="B45" s="13"/>
      <c r="C45" s="13">
        <v>0</v>
      </c>
      <c r="D45" s="13">
        <v>0</v>
      </c>
      <c r="E45" s="13">
        <v>0</v>
      </c>
      <c r="F45" s="13">
        <v>0</v>
      </c>
      <c r="G45" s="13">
        <v>0</v>
      </c>
      <c r="H45" s="13"/>
      <c r="I45" s="14">
        <f>IFERROR(VLOOKUP(A45,'Inst Lending numbers'!A:D,4,FALSE)," ")</f>
        <v>0.1</v>
      </c>
      <c r="J45" s="13"/>
      <c r="K45" s="13"/>
      <c r="L45" s="13">
        <v>3.4000000000000002E-2</v>
      </c>
      <c r="M45" s="13"/>
      <c r="N45" s="13"/>
      <c r="O45" s="13">
        <f t="shared" ca="1" si="8"/>
        <v>-0.12602095672146901</v>
      </c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>
        <v>0</v>
      </c>
      <c r="AB45" s="13">
        <f t="shared" si="7"/>
        <v>0.24</v>
      </c>
      <c r="AC45" s="13"/>
      <c r="AD45" s="13"/>
      <c r="AE45" s="13">
        <f>IFERROR(SUMIF('Weekly Rates'!D:D,A45,'Weekly Rates'!F:F)/COUNTIF('Weekly Rates'!D:D,A45),0)</f>
        <v>0</v>
      </c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 t="s">
        <v>303</v>
      </c>
      <c r="AT45" s="13"/>
      <c r="AU45" s="13">
        <f>SUMIF('Weekly Rates'!A:A,A45,'Weekly Rates'!B:B)</f>
        <v>0</v>
      </c>
      <c r="AV45" s="13">
        <v>0</v>
      </c>
      <c r="AW45" s="13">
        <v>0</v>
      </c>
      <c r="AX45" s="13">
        <v>0</v>
      </c>
      <c r="AY45" s="13">
        <v>0</v>
      </c>
      <c r="AZ45" s="13">
        <v>0</v>
      </c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</row>
    <row r="46" spans="1:140" ht="15.75" customHeight="1">
      <c r="A46" s="9" t="s">
        <v>204</v>
      </c>
      <c r="B46" s="13"/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/>
      <c r="I46" s="14">
        <f>IFERROR(VLOOKUP(A46,'Inst Lending numbers'!A:D,4,FALSE)," ")</f>
        <v>6.8599999999999994E-2</v>
      </c>
      <c r="J46" s="13"/>
      <c r="K46" s="13"/>
      <c r="L46" s="13"/>
      <c r="M46" s="13"/>
      <c r="N46" s="13"/>
      <c r="O46" s="13">
        <f t="shared" ca="1" si="8"/>
        <v>-0.12602095672146901</v>
      </c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>
        <v>0</v>
      </c>
      <c r="AB46" s="13">
        <f t="shared" si="7"/>
        <v>0.24</v>
      </c>
      <c r="AC46" s="13"/>
      <c r="AD46" s="13"/>
      <c r="AE46" s="13">
        <f>IFERROR(SUMIF('Weekly Rates'!D:D,A46,'Weekly Rates'!F:F)/COUNTIF('Weekly Rates'!D:D,A46),0)</f>
        <v>4.0555149999999991E-2</v>
      </c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 t="s">
        <v>303</v>
      </c>
      <c r="AT46" s="13"/>
      <c r="AU46" s="13">
        <f>SUMIF('Weekly Rates'!A:A,A46,'Weekly Rates'!B:B)</f>
        <v>0</v>
      </c>
      <c r="AV46" s="13">
        <v>0</v>
      </c>
      <c r="AW46" s="13">
        <v>0</v>
      </c>
      <c r="AX46" s="13">
        <v>0</v>
      </c>
      <c r="AY46" s="13">
        <v>0</v>
      </c>
      <c r="AZ46" s="13">
        <v>0</v>
      </c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</row>
    <row r="47" spans="1:140" ht="15.75" customHeight="1">
      <c r="A47" s="9" t="s">
        <v>205</v>
      </c>
      <c r="B47" s="13"/>
      <c r="C47" s="13">
        <v>0</v>
      </c>
      <c r="D47" s="13">
        <v>0</v>
      </c>
      <c r="E47" s="13">
        <v>0</v>
      </c>
      <c r="F47" s="13">
        <v>0</v>
      </c>
      <c r="G47" s="13">
        <v>0</v>
      </c>
      <c r="H47" s="13"/>
      <c r="I47" s="14" t="str">
        <f>IFERROR(VLOOKUP(A47,'Inst Lending numbers'!A:D,4,FALSE)," ")</f>
        <v xml:space="preserve"> </v>
      </c>
      <c r="J47" s="13"/>
      <c r="K47" s="13"/>
      <c r="L47" s="13"/>
      <c r="M47" s="13"/>
      <c r="N47" s="13"/>
      <c r="O47" s="13">
        <f t="shared" ca="1" si="8"/>
        <v>-0.12602095672146901</v>
      </c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>
        <v>0</v>
      </c>
      <c r="AB47" s="13">
        <f t="shared" si="7"/>
        <v>0.24</v>
      </c>
      <c r="AC47" s="13"/>
      <c r="AD47" s="13"/>
      <c r="AE47" s="13">
        <f>IFERROR(SUMIF('Weekly Rates'!D:D,A47,'Weekly Rates'!F:F)/COUNTIF('Weekly Rates'!D:D,A47),0)</f>
        <v>0</v>
      </c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 t="s">
        <v>303</v>
      </c>
      <c r="AT47" s="13"/>
      <c r="AU47" s="13">
        <f>SUMIF('Weekly Rates'!A:A,A47,'Weekly Rates'!B:B)</f>
        <v>0</v>
      </c>
      <c r="AV47" s="13">
        <v>0</v>
      </c>
      <c r="AW47" s="13">
        <v>0</v>
      </c>
      <c r="AX47" s="13">
        <v>0</v>
      </c>
      <c r="AY47" s="13">
        <v>0</v>
      </c>
      <c r="AZ47" s="13">
        <v>0</v>
      </c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</row>
    <row r="48" spans="1:140" ht="15.75" customHeight="1">
      <c r="A48" s="9" t="s">
        <v>206</v>
      </c>
      <c r="B48" s="13"/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/>
      <c r="I48" s="14">
        <f>IFERROR(VLOOKUP(A48,'Inst Lending numbers'!A:D,4,FALSE)," ")</f>
        <v>5.6300000000000003E-2</v>
      </c>
      <c r="J48" s="13">
        <v>0</v>
      </c>
      <c r="K48" s="13"/>
      <c r="L48" s="13"/>
      <c r="M48" s="13"/>
      <c r="N48" s="13"/>
      <c r="O48" s="13">
        <f t="shared" ca="1" si="8"/>
        <v>-0.12602095672146901</v>
      </c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>
        <v>0</v>
      </c>
      <c r="AB48" s="13">
        <f t="shared" si="7"/>
        <v>0.24</v>
      </c>
      <c r="AC48" s="13"/>
      <c r="AD48" s="13"/>
      <c r="AE48" s="13">
        <f>IFERROR(SUMIF('Weekly Rates'!D:D,A48,'Weekly Rates'!F:F)/COUNTIF('Weekly Rates'!D:D,A48),0)</f>
        <v>0</v>
      </c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>
        <v>0.10211706149999999</v>
      </c>
      <c r="AT48" s="13"/>
      <c r="AU48" s="13">
        <f>SUMIF('Weekly Rates'!A:A,A48,'Weekly Rates'!B:B)</f>
        <v>5.5500000000000001E-2</v>
      </c>
      <c r="AV48" s="13">
        <v>0</v>
      </c>
      <c r="AW48" s="13">
        <v>0</v>
      </c>
      <c r="AX48" s="13">
        <v>0</v>
      </c>
      <c r="AY48" s="13">
        <v>0</v>
      </c>
      <c r="AZ48" s="13">
        <v>0</v>
      </c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2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</row>
    <row r="49" spans="1:140" ht="15.75" customHeight="1">
      <c r="A49" s="9" t="s">
        <v>207</v>
      </c>
      <c r="B49" s="13"/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/>
      <c r="I49" s="14" t="str">
        <f>IFERROR(VLOOKUP(A49,'Inst Lending numbers'!A:D,4,FALSE)," ")</f>
        <v xml:space="preserve"> </v>
      </c>
      <c r="J49" s="13"/>
      <c r="K49" s="13"/>
      <c r="L49" s="13"/>
      <c r="M49" s="13"/>
      <c r="N49" s="13"/>
      <c r="O49" s="13">
        <f t="shared" ca="1" si="8"/>
        <v>-0.12602095672146901</v>
      </c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>
        <v>0</v>
      </c>
      <c r="AB49" s="13">
        <f t="shared" si="7"/>
        <v>0.24</v>
      </c>
      <c r="AC49" s="13"/>
      <c r="AD49" s="13"/>
      <c r="AE49" s="13">
        <f>IFERROR(SUMIF('Weekly Rates'!D:D,A49,'Weekly Rates'!F:F)/COUNTIF('Weekly Rates'!D:D,A49),0)</f>
        <v>0</v>
      </c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 t="s">
        <v>303</v>
      </c>
      <c r="AT49" s="13"/>
      <c r="AU49" s="13">
        <f>SUMIF('Weekly Rates'!A:A,A49,'Weekly Rates'!B:B)</f>
        <v>0</v>
      </c>
      <c r="AV49" s="13">
        <v>0</v>
      </c>
      <c r="AW49" s="13">
        <v>0</v>
      </c>
      <c r="AX49" s="13">
        <v>0</v>
      </c>
      <c r="AY49" s="13">
        <v>0</v>
      </c>
      <c r="AZ49" s="13">
        <v>0</v>
      </c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</row>
    <row r="50" spans="1:140" ht="15.75" customHeight="1">
      <c r="A50" s="9" t="s">
        <v>208</v>
      </c>
      <c r="B50" s="13"/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13"/>
      <c r="I50" s="14" t="str">
        <f>IFERROR(VLOOKUP(A50,'Inst Lending numbers'!A:D,4,FALSE)," ")</f>
        <v xml:space="preserve"> </v>
      </c>
      <c r="J50" s="13"/>
      <c r="K50" s="13"/>
      <c r="L50" s="13"/>
      <c r="M50" s="13"/>
      <c r="N50" s="13"/>
      <c r="O50" s="13">
        <f t="shared" ca="1" si="8"/>
        <v>-0.12602095672146901</v>
      </c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>
        <v>0</v>
      </c>
      <c r="AB50" s="13">
        <f t="shared" si="7"/>
        <v>0.24</v>
      </c>
      <c r="AC50" s="13"/>
      <c r="AD50" s="13"/>
      <c r="AE50" s="13">
        <f>IFERROR(SUMIF('Weekly Rates'!D:D,A50,'Weekly Rates'!F:F)/COUNTIF('Weekly Rates'!D:D,A50),0)</f>
        <v>0</v>
      </c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 t="s">
        <v>303</v>
      </c>
      <c r="AT50" s="13"/>
      <c r="AU50" s="13">
        <f>SUMIF('Weekly Rates'!A:A,A50,'Weekly Rates'!B:B)</f>
        <v>0</v>
      </c>
      <c r="AV50" s="13">
        <v>0</v>
      </c>
      <c r="AW50" s="13">
        <v>0</v>
      </c>
      <c r="AX50" s="13">
        <v>0</v>
      </c>
      <c r="AY50" s="13">
        <v>0</v>
      </c>
      <c r="AZ50" s="13">
        <v>0</v>
      </c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</row>
    <row r="51" spans="1:140" ht="15.75" customHeight="1">
      <c r="A51" s="9" t="s">
        <v>209</v>
      </c>
      <c r="B51" s="13"/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/>
      <c r="I51" s="14">
        <f>IFERROR(VLOOKUP(A51,'Inst Lending numbers'!A:D,4,FALSE)," ")</f>
        <v>6.3899999999999998E-2</v>
      </c>
      <c r="J51" s="13"/>
      <c r="K51" s="13"/>
      <c r="L51" s="13"/>
      <c r="M51" s="13">
        <v>0</v>
      </c>
      <c r="N51" s="13"/>
      <c r="O51" s="13">
        <f t="shared" ca="1" si="8"/>
        <v>-0.12602095672146901</v>
      </c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>
        <v>0</v>
      </c>
      <c r="AB51" s="13">
        <f t="shared" si="7"/>
        <v>0.24</v>
      </c>
      <c r="AC51" s="13"/>
      <c r="AD51" s="13"/>
      <c r="AE51" s="13">
        <f>IFERROR(SUMIF('Weekly Rates'!D:D,A51,'Weekly Rates'!F:F)/COUNTIF('Weekly Rates'!D:D,A51),0)</f>
        <v>0</v>
      </c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 t="s">
        <v>303</v>
      </c>
      <c r="AT51" s="13"/>
      <c r="AU51" s="13">
        <f>SUMIF('Weekly Rates'!A:A,A51,'Weekly Rates'!B:B)</f>
        <v>0</v>
      </c>
      <c r="AV51" s="13">
        <v>0</v>
      </c>
      <c r="AW51" s="13">
        <v>0</v>
      </c>
      <c r="AX51" s="13">
        <v>0</v>
      </c>
      <c r="AY51" s="13">
        <v>0</v>
      </c>
      <c r="AZ51" s="13">
        <v>0</v>
      </c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</row>
    <row r="52" spans="1:140" ht="15.75" customHeight="1">
      <c r="A52" s="9" t="s">
        <v>210</v>
      </c>
      <c r="B52" s="13"/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3"/>
      <c r="I52" s="14">
        <f>IFERROR(VLOOKUP(A52,'Inst Lending numbers'!A:D,4,FALSE)," ")</f>
        <v>5.5500000000000001E-2</v>
      </c>
      <c r="J52" s="13"/>
      <c r="K52" s="13"/>
      <c r="L52" s="13"/>
      <c r="M52" s="13"/>
      <c r="N52" s="13"/>
      <c r="O52" s="13">
        <f t="shared" ca="1" si="8"/>
        <v>-0.12602095672146901</v>
      </c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>
        <v>0</v>
      </c>
      <c r="AB52" s="13">
        <f t="shared" si="7"/>
        <v>0.24</v>
      </c>
      <c r="AC52" s="13"/>
      <c r="AD52" s="13"/>
      <c r="AE52" s="13">
        <f>IFERROR(SUMIF('Weekly Rates'!D:D,A52,'Weekly Rates'!F:F)/COUNTIF('Weekly Rates'!D:D,A52),0)</f>
        <v>0</v>
      </c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 t="s">
        <v>303</v>
      </c>
      <c r="AT52" s="13"/>
      <c r="AU52" s="13">
        <f>SUMIF('Weekly Rates'!A:A,A52,'Weekly Rates'!B:B)</f>
        <v>0.1017</v>
      </c>
      <c r="AV52" s="13">
        <v>0</v>
      </c>
      <c r="AW52" s="13">
        <v>0</v>
      </c>
      <c r="AX52" s="13">
        <v>0</v>
      </c>
      <c r="AY52" s="13">
        <v>0</v>
      </c>
      <c r="AZ52" s="13">
        <v>0</v>
      </c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</row>
    <row r="53" spans="1:140" ht="15.75" customHeight="1">
      <c r="A53" s="9" t="s">
        <v>211</v>
      </c>
      <c r="B53" s="13"/>
      <c r="C53" s="13">
        <v>0</v>
      </c>
      <c r="D53" s="13">
        <v>0</v>
      </c>
      <c r="E53" s="13">
        <v>0</v>
      </c>
      <c r="F53" s="13">
        <v>0</v>
      </c>
      <c r="G53" s="13">
        <v>0</v>
      </c>
      <c r="H53" s="13"/>
      <c r="I53" s="14" t="str">
        <f>IFERROR(VLOOKUP(A53,'Inst Lending numbers'!A:D,4,FALSE)," ")</f>
        <v xml:space="preserve"> </v>
      </c>
      <c r="J53" s="13"/>
      <c r="K53" s="13"/>
      <c r="L53" s="13"/>
      <c r="M53" s="13"/>
      <c r="N53" s="13"/>
      <c r="O53" s="13">
        <f t="shared" ca="1" si="8"/>
        <v>-0.12602095672146901</v>
      </c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>
        <v>0</v>
      </c>
      <c r="AB53" s="13">
        <f t="shared" si="7"/>
        <v>0.24</v>
      </c>
      <c r="AC53" s="13"/>
      <c r="AD53" s="13"/>
      <c r="AE53" s="13">
        <f>IFERROR(SUMIF('Weekly Rates'!D:D,A53,'Weekly Rates'!F:F)/COUNTIF('Weekly Rates'!D:D,A53),0)</f>
        <v>0</v>
      </c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 t="s">
        <v>303</v>
      </c>
      <c r="AT53" s="13"/>
      <c r="AU53" s="13">
        <f>SUMIF('Weekly Rates'!A:A,A53,'Weekly Rates'!B:B)</f>
        <v>0</v>
      </c>
      <c r="AV53" s="13">
        <v>0</v>
      </c>
      <c r="AW53" s="13">
        <v>0</v>
      </c>
      <c r="AX53" s="13">
        <v>0</v>
      </c>
      <c r="AY53" s="13">
        <v>0</v>
      </c>
      <c r="AZ53" s="13">
        <v>0</v>
      </c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</row>
    <row r="54" spans="1:140" ht="15.75" customHeight="1">
      <c r="A54" s="9" t="s">
        <v>212</v>
      </c>
      <c r="B54" s="13"/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/>
      <c r="I54" s="14" t="str">
        <f>IFERROR(VLOOKUP(A54,'Inst Lending numbers'!A:D,4,FALSE)," ")</f>
        <v xml:space="preserve"> </v>
      </c>
      <c r="J54" s="13"/>
      <c r="K54" s="13"/>
      <c r="L54" s="13"/>
      <c r="M54" s="13"/>
      <c r="N54" s="13"/>
      <c r="O54" s="13">
        <f t="shared" ca="1" si="8"/>
        <v>-0.12602095672146901</v>
      </c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>
        <v>0</v>
      </c>
      <c r="AB54" s="13">
        <f t="shared" si="7"/>
        <v>0.24</v>
      </c>
      <c r="AC54" s="13"/>
      <c r="AD54" s="13"/>
      <c r="AE54" s="13">
        <f>IFERROR(SUMIF('Weekly Rates'!D:D,A54,'Weekly Rates'!F:F)/COUNTIF('Weekly Rates'!D:D,A54),0)</f>
        <v>0</v>
      </c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 t="s">
        <v>303</v>
      </c>
      <c r="AT54" s="13"/>
      <c r="AU54" s="13">
        <f>SUMIF('Weekly Rates'!A:A,A54,'Weekly Rates'!B:B)</f>
        <v>0</v>
      </c>
      <c r="AV54" s="13">
        <v>0</v>
      </c>
      <c r="AW54" s="13">
        <v>0</v>
      </c>
      <c r="AX54" s="13">
        <v>0</v>
      </c>
      <c r="AY54" s="13">
        <v>0</v>
      </c>
      <c r="AZ54" s="13">
        <v>0</v>
      </c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</row>
    <row r="55" spans="1:140" ht="15.75" customHeight="1">
      <c r="A55" s="9" t="s">
        <v>213</v>
      </c>
      <c r="B55" s="13"/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/>
      <c r="I55" s="14" t="str">
        <f>IFERROR(VLOOKUP(A55,'Inst Lending numbers'!A:D,4,FALSE)," ")</f>
        <v xml:space="preserve"> </v>
      </c>
      <c r="J55" s="13"/>
      <c r="K55" s="13"/>
      <c r="L55" s="13"/>
      <c r="M55" s="13"/>
      <c r="N55" s="13"/>
      <c r="O55" s="13">
        <f t="shared" ca="1" si="8"/>
        <v>-0.12602095672146901</v>
      </c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>
        <v>0</v>
      </c>
      <c r="AB55" s="13">
        <f t="shared" si="7"/>
        <v>0.24</v>
      </c>
      <c r="AC55" s="13"/>
      <c r="AD55" s="13"/>
      <c r="AE55" s="13">
        <f>IFERROR(SUMIF('Weekly Rates'!D:D,A55,'Weekly Rates'!F:F)/COUNTIF('Weekly Rates'!D:D,A55),0)</f>
        <v>0</v>
      </c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 t="s">
        <v>303</v>
      </c>
      <c r="AT55" s="13"/>
      <c r="AU55" s="13">
        <f>SUMIF('Weekly Rates'!A:A,A55,'Weekly Rates'!B:B)</f>
        <v>0</v>
      </c>
      <c r="AV55" s="13">
        <v>0</v>
      </c>
      <c r="AW55" s="13">
        <v>0</v>
      </c>
      <c r="AX55" s="13">
        <v>0</v>
      </c>
      <c r="AY55" s="13">
        <v>0</v>
      </c>
      <c r="AZ55" s="13">
        <v>0</v>
      </c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</row>
    <row r="56" spans="1:140" ht="15.75" customHeight="1">
      <c r="A56" s="9" t="s">
        <v>214</v>
      </c>
      <c r="B56" s="13"/>
      <c r="C56" s="13">
        <v>0</v>
      </c>
      <c r="D56" s="13">
        <v>0</v>
      </c>
      <c r="E56" s="13">
        <v>0</v>
      </c>
      <c r="F56" s="13">
        <v>0</v>
      </c>
      <c r="G56" s="13">
        <v>0</v>
      </c>
      <c r="H56" s="13"/>
      <c r="I56" s="14">
        <f>IFERROR(VLOOKUP(A56,'Inst Lending numbers'!A:D,4,FALSE)," ")</f>
        <v>8.0199999999999994E-2</v>
      </c>
      <c r="J56" s="13"/>
      <c r="K56" s="13"/>
      <c r="L56" s="13"/>
      <c r="M56" s="13"/>
      <c r="N56" s="13"/>
      <c r="O56" s="13">
        <f t="shared" ca="1" si="8"/>
        <v>-0.12602095672146901</v>
      </c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>
        <v>0</v>
      </c>
      <c r="AB56" s="13">
        <f t="shared" si="7"/>
        <v>0.24</v>
      </c>
      <c r="AC56" s="13"/>
      <c r="AD56" s="13"/>
      <c r="AE56" s="13">
        <f>IFERROR(SUMIF('Weekly Rates'!D:D,A56,'Weekly Rates'!F:F)/COUNTIF('Weekly Rates'!D:D,A56),0)</f>
        <v>0</v>
      </c>
      <c r="AF56" s="13"/>
      <c r="AG56" s="13"/>
      <c r="AH56" s="13"/>
      <c r="AI56" s="13"/>
      <c r="AJ56" s="13"/>
      <c r="AK56" s="13"/>
      <c r="AL56" s="13"/>
      <c r="AM56" s="13"/>
      <c r="AN56" s="13">
        <v>0.1</v>
      </c>
      <c r="AO56" s="13"/>
      <c r="AP56" s="13"/>
      <c r="AQ56" s="13">
        <v>0.13500000000000001</v>
      </c>
      <c r="AR56" s="13"/>
      <c r="AS56" s="13" t="s">
        <v>303</v>
      </c>
      <c r="AT56" s="13"/>
      <c r="AU56" s="13">
        <f>SUMIF('Weekly Rates'!A:A,A56,'Weekly Rates'!B:B)</f>
        <v>0</v>
      </c>
      <c r="AV56" s="13">
        <v>0</v>
      </c>
      <c r="AW56" s="13">
        <v>0</v>
      </c>
      <c r="AX56" s="13">
        <v>0</v>
      </c>
      <c r="AY56" s="13">
        <v>0</v>
      </c>
      <c r="AZ56" s="13">
        <v>0</v>
      </c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</row>
    <row r="57" spans="1:140" ht="15.75" customHeight="1">
      <c r="A57" s="9" t="s">
        <v>215</v>
      </c>
      <c r="B57" s="13"/>
      <c r="C57" s="13">
        <v>0</v>
      </c>
      <c r="D57" s="13">
        <v>0</v>
      </c>
      <c r="E57" s="13">
        <v>0</v>
      </c>
      <c r="F57" s="13">
        <v>0</v>
      </c>
      <c r="G57" s="13">
        <v>0</v>
      </c>
      <c r="H57" s="13"/>
      <c r="I57" s="14" t="str">
        <f>IFERROR(VLOOKUP(A57,'Inst Lending numbers'!A:D,4,FALSE)," ")</f>
        <v xml:space="preserve"> </v>
      </c>
      <c r="J57" s="13"/>
      <c r="K57" s="13"/>
      <c r="L57" s="13">
        <v>3.4000000000000002E-2</v>
      </c>
      <c r="M57" s="13"/>
      <c r="N57" s="13"/>
      <c r="O57" s="13">
        <f t="shared" ca="1" si="8"/>
        <v>-0.12602095672146901</v>
      </c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>
        <v>0</v>
      </c>
      <c r="AB57" s="13">
        <f t="shared" si="7"/>
        <v>0.24</v>
      </c>
      <c r="AC57" s="13"/>
      <c r="AD57" s="13"/>
      <c r="AE57" s="13">
        <f>IFERROR(SUMIF('Weekly Rates'!D:D,A57,'Weekly Rates'!F:F)/COUNTIF('Weekly Rates'!D:D,A57),0)</f>
        <v>0</v>
      </c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>
        <v>0.1781822998</v>
      </c>
      <c r="AT57" s="13"/>
      <c r="AU57" s="13">
        <f>SUMIF('Weekly Rates'!A:A,A57,'Weekly Rates'!B:B)</f>
        <v>0</v>
      </c>
      <c r="AV57" s="13">
        <v>0</v>
      </c>
      <c r="AW57" s="13">
        <v>0</v>
      </c>
      <c r="AX57" s="13">
        <v>0</v>
      </c>
      <c r="AY57" s="13">
        <v>0</v>
      </c>
      <c r="AZ57" s="13">
        <v>0</v>
      </c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</row>
    <row r="58" spans="1:140" ht="15.75" customHeight="1">
      <c r="A58" s="9" t="s">
        <v>216</v>
      </c>
      <c r="B58" s="13"/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/>
      <c r="I58" s="14" t="str">
        <f>IFERROR(VLOOKUP(A58,'Inst Lending numbers'!A:D,4,FALSE)," ")</f>
        <v xml:space="preserve"> </v>
      </c>
      <c r="J58" s="13"/>
      <c r="K58" s="13"/>
      <c r="L58" s="13"/>
      <c r="M58" s="13"/>
      <c r="N58" s="13"/>
      <c r="O58" s="13">
        <f t="shared" ca="1" si="8"/>
        <v>-0.12602095672146901</v>
      </c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>
        <v>0</v>
      </c>
      <c r="AB58" s="13">
        <f t="shared" si="7"/>
        <v>0.24</v>
      </c>
      <c r="AC58" s="13"/>
      <c r="AD58" s="13"/>
      <c r="AE58" s="13">
        <f>IFERROR(SUMIF('Weekly Rates'!D:D,A58,'Weekly Rates'!F:F)/COUNTIF('Weekly Rates'!D:D,A58),0)</f>
        <v>0</v>
      </c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 t="s">
        <v>303</v>
      </c>
      <c r="AT58" s="13"/>
      <c r="AU58" s="13">
        <f>SUMIF('Weekly Rates'!A:A,A58,'Weekly Rates'!B:B)</f>
        <v>0</v>
      </c>
      <c r="AV58" s="13">
        <v>0</v>
      </c>
      <c r="AW58" s="13">
        <v>0</v>
      </c>
      <c r="AX58" s="13">
        <v>0</v>
      </c>
      <c r="AY58" s="13">
        <v>0</v>
      </c>
      <c r="AZ58" s="13">
        <v>0</v>
      </c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</row>
    <row r="59" spans="1:140" ht="15.75" customHeight="1">
      <c r="A59" s="9" t="s">
        <v>217</v>
      </c>
      <c r="B59" s="13"/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/>
      <c r="I59" s="14">
        <f>IFERROR(VLOOKUP(A59,'Inst Lending numbers'!A:D,4,FALSE)," ")</f>
        <v>6.7799999999999999E-2</v>
      </c>
      <c r="J59" s="13"/>
      <c r="K59" s="13"/>
      <c r="L59" s="13"/>
      <c r="M59" s="13"/>
      <c r="N59" s="13"/>
      <c r="O59" s="13">
        <f t="shared" ca="1" si="8"/>
        <v>-0.12602095672146901</v>
      </c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>
        <v>0</v>
      </c>
      <c r="AB59" s="13">
        <f t="shared" si="7"/>
        <v>0.24</v>
      </c>
      <c r="AC59" s="13"/>
      <c r="AD59" s="13"/>
      <c r="AE59" s="13">
        <f>IFERROR(SUMIF('Weekly Rates'!D:D,A59,'Weekly Rates'!F:F)/COUNTIF('Weekly Rates'!D:D,A59),0)</f>
        <v>0</v>
      </c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 t="s">
        <v>303</v>
      </c>
      <c r="AT59" s="13"/>
      <c r="AU59" s="13">
        <f>SUMIF('Weekly Rates'!A:A,A59,'Weekly Rates'!B:B)</f>
        <v>0.33939999999999998</v>
      </c>
      <c r="AV59" s="13">
        <v>0</v>
      </c>
      <c r="AW59" s="13">
        <v>0</v>
      </c>
      <c r="AX59" s="13">
        <v>0</v>
      </c>
      <c r="AY59" s="13">
        <v>0</v>
      </c>
      <c r="AZ59" s="13">
        <v>0</v>
      </c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</row>
    <row r="60" spans="1:140" ht="15.75" customHeight="1">
      <c r="A60" s="9" t="s">
        <v>218</v>
      </c>
      <c r="B60" s="13"/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/>
      <c r="I60" s="14" t="str">
        <f>IFERROR(VLOOKUP(A60,'Inst Lending numbers'!A:D,4,FALSE)," ")</f>
        <v xml:space="preserve"> </v>
      </c>
      <c r="J60" s="13"/>
      <c r="K60" s="13"/>
      <c r="L60" s="13"/>
      <c r="M60" s="13"/>
      <c r="N60" s="13"/>
      <c r="O60" s="13">
        <f t="shared" ca="1" si="8"/>
        <v>-0.12602095672146901</v>
      </c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>
        <v>0</v>
      </c>
      <c r="AB60" s="13">
        <f t="shared" si="7"/>
        <v>0.24</v>
      </c>
      <c r="AC60" s="13"/>
      <c r="AD60" s="13"/>
      <c r="AE60" s="13">
        <f>IFERROR(SUMIF('Weekly Rates'!D:D,A60,'Weekly Rates'!F:F)/COUNTIF('Weekly Rates'!D:D,A60),0)</f>
        <v>0</v>
      </c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 t="s">
        <v>303</v>
      </c>
      <c r="AT60" s="13"/>
      <c r="AU60" s="13">
        <f>SUMIF('Weekly Rates'!A:A,A60,'Weekly Rates'!B:B)</f>
        <v>0</v>
      </c>
      <c r="AV60" s="13">
        <v>0</v>
      </c>
      <c r="AW60" s="13">
        <v>0</v>
      </c>
      <c r="AX60" s="13">
        <v>0</v>
      </c>
      <c r="AY60" s="13">
        <v>0</v>
      </c>
      <c r="AZ60" s="13">
        <v>0</v>
      </c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</row>
    <row r="61" spans="1:140" ht="15.75" customHeight="1">
      <c r="A61" s="9" t="s">
        <v>219</v>
      </c>
      <c r="B61" s="13"/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/>
      <c r="I61" s="14" t="str">
        <f>IFERROR(VLOOKUP(A61,'Inst Lending numbers'!A:D,4,FALSE)," ")</f>
        <v xml:space="preserve"> </v>
      </c>
      <c r="J61" s="13"/>
      <c r="K61" s="13"/>
      <c r="L61" s="13"/>
      <c r="M61" s="13"/>
      <c r="N61" s="13"/>
      <c r="O61" s="13">
        <f t="shared" ca="1" si="8"/>
        <v>-0.12602095672146901</v>
      </c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>
        <v>0</v>
      </c>
      <c r="AB61" s="13">
        <f t="shared" si="7"/>
        <v>0.24</v>
      </c>
      <c r="AC61" s="13"/>
      <c r="AD61" s="13"/>
      <c r="AE61" s="13">
        <f>IFERROR(SUMIF('Weekly Rates'!D:D,A61,'Weekly Rates'!F:F)/COUNTIF('Weekly Rates'!D:D,A61),0)</f>
        <v>0</v>
      </c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 t="s">
        <v>303</v>
      </c>
      <c r="AT61" s="13"/>
      <c r="AU61" s="13">
        <f>SUMIF('Weekly Rates'!A:A,A61,'Weekly Rates'!B:B)</f>
        <v>0</v>
      </c>
      <c r="AV61" s="13">
        <v>0</v>
      </c>
      <c r="AW61" s="13">
        <v>0</v>
      </c>
      <c r="AX61" s="13">
        <v>0</v>
      </c>
      <c r="AY61" s="13">
        <v>0</v>
      </c>
      <c r="AZ61" s="13">
        <v>0</v>
      </c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</row>
    <row r="62" spans="1:140" ht="15.75" customHeight="1">
      <c r="A62" s="9" t="s">
        <v>220</v>
      </c>
      <c r="B62" s="13"/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/>
      <c r="I62" s="14" t="str">
        <f>IFERROR(VLOOKUP(A62,'Inst Lending numbers'!A:D,4,FALSE)," ")</f>
        <v xml:space="preserve"> </v>
      </c>
      <c r="J62" s="13"/>
      <c r="K62" s="13"/>
      <c r="L62" s="13"/>
      <c r="M62" s="13"/>
      <c r="N62" s="13"/>
      <c r="O62" s="13">
        <f t="shared" ca="1" si="8"/>
        <v>-0.12602095672146901</v>
      </c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>
        <v>0</v>
      </c>
      <c r="AB62" s="13">
        <f t="shared" si="7"/>
        <v>0.24</v>
      </c>
      <c r="AC62" s="13"/>
      <c r="AD62" s="13"/>
      <c r="AE62" s="13">
        <f>IFERROR(SUMIF('Weekly Rates'!D:D,A62,'Weekly Rates'!F:F)/COUNTIF('Weekly Rates'!D:D,A62),0)</f>
        <v>0</v>
      </c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 t="s">
        <v>303</v>
      </c>
      <c r="AT62" s="13"/>
      <c r="AU62" s="13">
        <f>SUMIF('Weekly Rates'!A:A,A62,'Weekly Rates'!B:B)</f>
        <v>0</v>
      </c>
      <c r="AV62" s="13">
        <v>0</v>
      </c>
      <c r="AW62" s="13">
        <v>0</v>
      </c>
      <c r="AX62" s="13">
        <v>0</v>
      </c>
      <c r="AY62" s="13">
        <v>0</v>
      </c>
      <c r="AZ62" s="13">
        <v>0</v>
      </c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</row>
    <row r="63" spans="1:140" ht="15.75" customHeight="1">
      <c r="A63" s="9" t="s">
        <v>221</v>
      </c>
      <c r="B63" s="13"/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/>
      <c r="I63" s="14">
        <f>IFERROR(VLOOKUP(A63,'Inst Lending numbers'!A:D,4,FALSE)," ")</f>
        <v>4.4999999999999998E-2</v>
      </c>
      <c r="J63" s="13"/>
      <c r="K63" s="13"/>
      <c r="L63" s="13"/>
      <c r="M63" s="13"/>
      <c r="N63" s="13"/>
      <c r="O63" s="13">
        <f t="shared" ca="1" si="8"/>
        <v>-0.12602095672146901</v>
      </c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>
        <v>0</v>
      </c>
      <c r="AB63" s="13">
        <f t="shared" si="7"/>
        <v>0.24</v>
      </c>
      <c r="AC63" s="13"/>
      <c r="AD63" s="13"/>
      <c r="AE63" s="13">
        <f>IFERROR(SUMIF('Weekly Rates'!D:D,A63,'Weekly Rates'!F:F)/COUNTIF('Weekly Rates'!D:D,A63),0)</f>
        <v>0</v>
      </c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 t="s">
        <v>303</v>
      </c>
      <c r="AT63" s="13"/>
      <c r="AU63" s="13">
        <f>SUMIF('Weekly Rates'!A:A,A63,'Weekly Rates'!B:B)</f>
        <v>0</v>
      </c>
      <c r="AV63" s="13">
        <v>0</v>
      </c>
      <c r="AW63" s="13">
        <v>0</v>
      </c>
      <c r="AX63" s="13">
        <v>0</v>
      </c>
      <c r="AY63" s="13">
        <v>0</v>
      </c>
      <c r="AZ63" s="13">
        <v>0</v>
      </c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</row>
    <row r="64" spans="1:140" ht="15.75" customHeight="1">
      <c r="A64" s="7" t="s">
        <v>222</v>
      </c>
      <c r="B64" s="13"/>
      <c r="C64" s="13"/>
      <c r="D64" s="13"/>
      <c r="E64" s="13"/>
      <c r="F64" s="13"/>
      <c r="G64" s="13"/>
      <c r="H64" s="13"/>
      <c r="I64" s="14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>
        <v>0</v>
      </c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 t="s">
        <v>303</v>
      </c>
      <c r="AT64" s="13"/>
      <c r="AU64" s="13"/>
      <c r="AV64" s="13"/>
      <c r="AW64" s="13"/>
      <c r="AX64" s="13"/>
      <c r="AY64" s="13">
        <v>0</v>
      </c>
      <c r="AZ64" s="13">
        <v>0</v>
      </c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</row>
    <row r="65" spans="1:140" ht="15.75" customHeight="1">
      <c r="A65" s="9" t="s">
        <v>223</v>
      </c>
      <c r="B65" s="13"/>
      <c r="C65" s="13">
        <v>0</v>
      </c>
      <c r="D65" s="13">
        <v>0</v>
      </c>
      <c r="E65" s="13">
        <v>0</v>
      </c>
      <c r="F65" s="13">
        <v>0</v>
      </c>
      <c r="G65" s="13">
        <v>0</v>
      </c>
      <c r="H65" s="13"/>
      <c r="I65" s="14" t="str">
        <f>IFERROR(VLOOKUP(A65,'Inst Lending numbers'!A:D,4,FALSE)," ")</f>
        <v xml:space="preserve"> </v>
      </c>
      <c r="J65" s="13"/>
      <c r="K65" s="13"/>
      <c r="L65" s="13"/>
      <c r="M65" s="13"/>
      <c r="N65" s="13"/>
      <c r="O65" s="13">
        <f t="shared" ref="O65:O66" ca="1" si="9">$O$4</f>
        <v>-0.12602095672146901</v>
      </c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>
        <v>0</v>
      </c>
      <c r="AB65" s="13">
        <f t="shared" ref="AB65:AB66" si="10">$AB$4</f>
        <v>0.24</v>
      </c>
      <c r="AC65" s="13"/>
      <c r="AD65" s="13"/>
      <c r="AE65" s="13">
        <f>IFERROR(SUMIF('Weekly Rates'!D:D,A65,'Weekly Rates'!F:F)/COUNTIF('Weekly Rates'!D:D,A65),0)</f>
        <v>0</v>
      </c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 t="s">
        <v>303</v>
      </c>
      <c r="AT65" s="13"/>
      <c r="AU65" s="13">
        <f>SUMIF('Weekly Rates'!A:A,A65,'Weekly Rates'!B:B)</f>
        <v>0</v>
      </c>
      <c r="AV65" s="13">
        <v>0</v>
      </c>
      <c r="AW65" s="13">
        <v>0</v>
      </c>
      <c r="AX65" s="13">
        <v>0</v>
      </c>
      <c r="AY65" s="13">
        <v>0</v>
      </c>
      <c r="AZ65" s="13">
        <v>0</v>
      </c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</row>
    <row r="66" spans="1:140" ht="15.75" customHeight="1">
      <c r="A66" s="9" t="s">
        <v>224</v>
      </c>
      <c r="B66" s="13"/>
      <c r="C66" s="13">
        <v>0</v>
      </c>
      <c r="D66" s="13">
        <v>0</v>
      </c>
      <c r="E66" s="13">
        <v>0</v>
      </c>
      <c r="F66" s="13">
        <v>0</v>
      </c>
      <c r="G66" s="13">
        <v>0</v>
      </c>
      <c r="H66" s="13"/>
      <c r="I66" s="14">
        <f>IFERROR(VLOOKUP(A66,'Inst Lending numbers'!A:D,4,FALSE)," ")</f>
        <v>9.4299999999999995E-2</v>
      </c>
      <c r="J66" s="13"/>
      <c r="K66" s="13"/>
      <c r="L66" s="13"/>
      <c r="M66" s="13"/>
      <c r="N66" s="13"/>
      <c r="O66" s="13">
        <f t="shared" ca="1" si="9"/>
        <v>-0.12602095672146901</v>
      </c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>
        <v>0</v>
      </c>
      <c r="AB66" s="13">
        <f t="shared" si="10"/>
        <v>0.24</v>
      </c>
      <c r="AC66" s="13"/>
      <c r="AD66" s="13"/>
      <c r="AE66" s="13">
        <f>IFERROR(SUMIF('Weekly Rates'!D:D,A66,'Weekly Rates'!F:F)/COUNTIF('Weekly Rates'!D:D,A66),0)</f>
        <v>0</v>
      </c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 t="s">
        <v>303</v>
      </c>
      <c r="AT66" s="13"/>
      <c r="AU66" s="13">
        <f>SUMIF('Weekly Rates'!A:A,A66,'Weekly Rates'!B:B)</f>
        <v>0</v>
      </c>
      <c r="AV66" s="13">
        <v>0</v>
      </c>
      <c r="AW66" s="13">
        <v>0</v>
      </c>
      <c r="AX66" s="13">
        <v>0</v>
      </c>
      <c r="AY66" s="13">
        <v>0</v>
      </c>
      <c r="AZ66" s="13">
        <v>0</v>
      </c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</row>
    <row r="67" spans="1:140" ht="15.75" customHeight="1">
      <c r="A67" s="7" t="s">
        <v>225</v>
      </c>
      <c r="B67" s="13">
        <v>0</v>
      </c>
      <c r="C67" s="13">
        <v>0</v>
      </c>
      <c r="D67" s="13">
        <v>0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/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>
        <v>0</v>
      </c>
      <c r="AJ67" s="13">
        <v>0</v>
      </c>
      <c r="AK67" s="13">
        <v>0</v>
      </c>
      <c r="AL67" s="13">
        <v>0</v>
      </c>
      <c r="AM67" s="13">
        <v>0</v>
      </c>
      <c r="AN67" s="13">
        <v>0</v>
      </c>
      <c r="AO67" s="13">
        <v>0</v>
      </c>
      <c r="AP67" s="13">
        <v>0</v>
      </c>
      <c r="AQ67" s="13">
        <v>0</v>
      </c>
      <c r="AR67" s="13">
        <v>0</v>
      </c>
      <c r="AS67" s="13" t="s">
        <v>303</v>
      </c>
      <c r="AT67" s="13">
        <v>0</v>
      </c>
      <c r="AU67" s="13">
        <v>0</v>
      </c>
      <c r="AV67" s="13">
        <v>0</v>
      </c>
      <c r="AW67" s="13">
        <v>0</v>
      </c>
      <c r="AX67" s="13">
        <v>0</v>
      </c>
      <c r="AY67" s="13">
        <v>0</v>
      </c>
      <c r="AZ67" s="13">
        <v>0</v>
      </c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</row>
    <row r="68" spans="1:140" ht="15.75" customHeight="1">
      <c r="A68" s="9" t="s">
        <v>226</v>
      </c>
      <c r="B68" s="13"/>
      <c r="C68" s="13">
        <v>0</v>
      </c>
      <c r="D68" s="13">
        <v>0</v>
      </c>
      <c r="E68" s="13">
        <v>0</v>
      </c>
      <c r="F68" s="13">
        <v>0</v>
      </c>
      <c r="G68" s="13">
        <v>0</v>
      </c>
      <c r="H68" s="13"/>
      <c r="I68" s="14" t="str">
        <f>IFERROR(VLOOKUP(A68,'Inst Lending numbers'!A:D,4,FALSE)," ")</f>
        <v xml:space="preserve"> </v>
      </c>
      <c r="J68" s="13"/>
      <c r="K68" s="13"/>
      <c r="L68" s="13"/>
      <c r="M68" s="13"/>
      <c r="N68" s="13"/>
      <c r="O68" s="13">
        <f ca="1">$O$4</f>
        <v>-0.12602095672146901</v>
      </c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>
        <v>0</v>
      </c>
      <c r="AB68" s="13">
        <f>$AB$4</f>
        <v>0.24</v>
      </c>
      <c r="AC68" s="13"/>
      <c r="AD68" s="13"/>
      <c r="AE68" s="13">
        <f>IFERROR(SUMIF('Weekly Rates'!D:D,A68,'Weekly Rates'!F:F)/COUNTIF('Weekly Rates'!D:D,A68),0)</f>
        <v>0</v>
      </c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 t="s">
        <v>303</v>
      </c>
      <c r="AT68" s="13"/>
      <c r="AU68" s="13">
        <f>SUMIF('Weekly Rates'!A:A,A68,'Weekly Rates'!B:B)</f>
        <v>0</v>
      </c>
      <c r="AV68" s="13">
        <v>0</v>
      </c>
      <c r="AW68" s="13">
        <v>0</v>
      </c>
      <c r="AX68" s="13">
        <v>0</v>
      </c>
      <c r="AY68" s="13">
        <v>0</v>
      </c>
      <c r="AZ68" s="13">
        <v>0</v>
      </c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</row>
    <row r="69" spans="1:140" ht="15.75" customHeight="1">
      <c r="A69" s="7" t="s">
        <v>227</v>
      </c>
      <c r="B69" s="13">
        <v>0</v>
      </c>
      <c r="C69" s="13">
        <v>0</v>
      </c>
      <c r="D69" s="13">
        <v>0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/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13">
        <v>0</v>
      </c>
      <c r="AK69" s="13">
        <v>0</v>
      </c>
      <c r="AL69" s="13">
        <v>0</v>
      </c>
      <c r="AM69" s="13">
        <v>0</v>
      </c>
      <c r="AN69" s="13">
        <v>0</v>
      </c>
      <c r="AO69" s="13">
        <v>0</v>
      </c>
      <c r="AP69" s="13">
        <v>0</v>
      </c>
      <c r="AQ69" s="13">
        <v>0</v>
      </c>
      <c r="AR69" s="13">
        <v>0</v>
      </c>
      <c r="AS69" s="13" t="s">
        <v>303</v>
      </c>
      <c r="AT69" s="13">
        <v>0</v>
      </c>
      <c r="AU69" s="13">
        <v>0</v>
      </c>
      <c r="AV69" s="13">
        <v>0</v>
      </c>
      <c r="AW69" s="13">
        <v>0</v>
      </c>
      <c r="AX69" s="13">
        <v>0</v>
      </c>
      <c r="AY69" s="13">
        <v>0</v>
      </c>
      <c r="AZ69" s="13">
        <v>0</v>
      </c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</row>
    <row r="70" spans="1:140" ht="15.75" customHeight="1">
      <c r="A70" s="9" t="s">
        <v>228</v>
      </c>
      <c r="B70" s="13"/>
      <c r="C70" s="13">
        <v>0</v>
      </c>
      <c r="D70" s="13">
        <v>0</v>
      </c>
      <c r="E70" s="13">
        <v>0</v>
      </c>
      <c r="F70" s="13">
        <v>0</v>
      </c>
      <c r="G70" s="13">
        <v>0</v>
      </c>
      <c r="H70" s="13"/>
      <c r="I70" s="14" t="str">
        <f>IFERROR(VLOOKUP(A70,'Inst Lending numbers'!A:D,4,FALSE)," ")</f>
        <v xml:space="preserve"> </v>
      </c>
      <c r="J70" s="13"/>
      <c r="K70" s="13"/>
      <c r="L70" s="13"/>
      <c r="M70" s="13"/>
      <c r="N70" s="13"/>
      <c r="O70" s="13">
        <f t="shared" ref="O70:O71" ca="1" si="11">$O$4</f>
        <v>-0.12602095672146901</v>
      </c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>
        <v>0</v>
      </c>
      <c r="AB70" s="13">
        <f t="shared" ref="AB70:AB73" si="12">$AB$4</f>
        <v>0.24</v>
      </c>
      <c r="AC70" s="13"/>
      <c r="AD70" s="13"/>
      <c r="AE70" s="13">
        <f>IFERROR(SUMIF('Weekly Rates'!D:D,A70,'Weekly Rates'!F:F)/COUNTIF('Weekly Rates'!D:D,A70),0)</f>
        <v>0</v>
      </c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 t="s">
        <v>303</v>
      </c>
      <c r="AT70" s="13"/>
      <c r="AU70" s="13">
        <f>SUMIF('Weekly Rates'!A:A,A70,'Weekly Rates'!B:B)</f>
        <v>0</v>
      </c>
      <c r="AV70" s="13">
        <v>0</v>
      </c>
      <c r="AW70" s="13">
        <v>0</v>
      </c>
      <c r="AX70" s="13">
        <v>0</v>
      </c>
      <c r="AY70" s="13">
        <v>0</v>
      </c>
      <c r="AZ70" s="13">
        <v>0</v>
      </c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</row>
    <row r="71" spans="1:140" ht="15.75" customHeight="1">
      <c r="A71" s="9" t="s">
        <v>229</v>
      </c>
      <c r="B71" s="13"/>
      <c r="C71" s="13">
        <v>0</v>
      </c>
      <c r="D71" s="13">
        <v>0</v>
      </c>
      <c r="E71" s="13">
        <v>0</v>
      </c>
      <c r="F71" s="13">
        <v>0</v>
      </c>
      <c r="G71" s="13">
        <v>0</v>
      </c>
      <c r="H71" s="13"/>
      <c r="I71" s="14" t="str">
        <f>IFERROR(VLOOKUP(A71,'Inst Lending numbers'!A:D,4,FALSE)," ")</f>
        <v xml:space="preserve"> </v>
      </c>
      <c r="J71" s="13"/>
      <c r="K71" s="13"/>
      <c r="L71" s="13"/>
      <c r="M71" s="13"/>
      <c r="N71" s="13"/>
      <c r="O71" s="13">
        <f t="shared" ca="1" si="11"/>
        <v>-0.12602095672146901</v>
      </c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>
        <v>0</v>
      </c>
      <c r="AB71" s="13">
        <f t="shared" si="12"/>
        <v>0.24</v>
      </c>
      <c r="AC71" s="13"/>
      <c r="AD71" s="13"/>
      <c r="AE71" s="13">
        <f>IFERROR(SUMIF('Weekly Rates'!D:D,A71,'Weekly Rates'!F:F)/COUNTIF('Weekly Rates'!D:D,A71),0)</f>
        <v>0</v>
      </c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 t="s">
        <v>303</v>
      </c>
      <c r="AT71" s="13"/>
      <c r="AU71" s="13">
        <f>SUMIF('Weekly Rates'!A:A,A71,'Weekly Rates'!B:B)</f>
        <v>0</v>
      </c>
      <c r="AV71" s="13">
        <v>0</v>
      </c>
      <c r="AW71" s="13">
        <v>0</v>
      </c>
      <c r="AX71" s="13">
        <v>0</v>
      </c>
      <c r="AY71" s="13">
        <v>0</v>
      </c>
      <c r="AZ71" s="13">
        <v>0</v>
      </c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</row>
    <row r="72" spans="1:140" ht="15.75" customHeight="1">
      <c r="A72" s="7" t="s">
        <v>230</v>
      </c>
      <c r="B72" s="13"/>
      <c r="C72" s="13">
        <v>0</v>
      </c>
      <c r="D72" s="13"/>
      <c r="E72" s="13"/>
      <c r="F72" s="13"/>
      <c r="G72" s="13"/>
      <c r="H72" s="13"/>
      <c r="I72" s="14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>
        <v>0</v>
      </c>
      <c r="AB72" s="13">
        <f t="shared" si="12"/>
        <v>0.24</v>
      </c>
      <c r="AC72" s="13"/>
      <c r="AD72" s="13"/>
      <c r="AE72" s="13">
        <f>IFERROR(SUMIF('Weekly Rates'!D:D,A72,'Weekly Rates'!F:F)/COUNTIF('Weekly Rates'!D:D,A72),0)</f>
        <v>0</v>
      </c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 t="s">
        <v>303</v>
      </c>
      <c r="AT72" s="13"/>
      <c r="AU72" s="13"/>
      <c r="AV72" s="13"/>
      <c r="AW72" s="13">
        <v>0</v>
      </c>
      <c r="AX72" s="13"/>
      <c r="AY72" s="13">
        <v>0</v>
      </c>
      <c r="AZ72" s="13">
        <v>0</v>
      </c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</row>
    <row r="73" spans="1:140" ht="15.75" customHeight="1">
      <c r="A73" s="16" t="s">
        <v>231</v>
      </c>
      <c r="B73" s="13"/>
      <c r="C73" s="13">
        <v>0</v>
      </c>
      <c r="D73" s="13"/>
      <c r="E73" s="13"/>
      <c r="F73" s="13"/>
      <c r="G73" s="13"/>
      <c r="H73" s="13"/>
      <c r="I73" s="14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>
        <v>0</v>
      </c>
      <c r="AB73" s="13">
        <f t="shared" si="12"/>
        <v>0.24</v>
      </c>
      <c r="AC73" s="13"/>
      <c r="AD73" s="13"/>
      <c r="AE73" s="13">
        <f>IFERROR(SUMIF('Weekly Rates'!D:D,A73,'Weekly Rates'!F:F)/COUNTIF('Weekly Rates'!D:D,A73),0)</f>
        <v>0</v>
      </c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 t="s">
        <v>303</v>
      </c>
      <c r="AT73" s="13"/>
      <c r="AU73" s="13"/>
      <c r="AV73" s="13"/>
      <c r="AW73" s="13">
        <v>0</v>
      </c>
      <c r="AX73" s="13"/>
      <c r="AY73" s="13">
        <v>0</v>
      </c>
      <c r="AZ73" s="13">
        <v>0</v>
      </c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</row>
    <row r="74" spans="1:140" ht="15.75" customHeight="1">
      <c r="A74" s="16" t="s">
        <v>232</v>
      </c>
      <c r="B74" s="13"/>
      <c r="C74" s="13"/>
      <c r="D74" s="13"/>
      <c r="E74" s="13"/>
      <c r="F74" s="13"/>
      <c r="G74" s="13"/>
      <c r="H74" s="13"/>
      <c r="I74" s="14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 t="s">
        <v>303</v>
      </c>
      <c r="AT74" s="13"/>
      <c r="AU74" s="13">
        <v>0</v>
      </c>
      <c r="AV74" s="13">
        <v>0</v>
      </c>
      <c r="AW74" s="13">
        <v>0</v>
      </c>
      <c r="AX74" s="13">
        <v>0</v>
      </c>
      <c r="AY74" s="13">
        <v>0</v>
      </c>
      <c r="AZ74" s="13">
        <v>0</v>
      </c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</row>
    <row r="75" spans="1:140" ht="15.75" customHeight="1">
      <c r="A75" s="9" t="s">
        <v>233</v>
      </c>
      <c r="B75" s="13"/>
      <c r="C75" s="13">
        <v>0</v>
      </c>
      <c r="D75" s="13">
        <v>0</v>
      </c>
      <c r="E75" s="13">
        <v>0</v>
      </c>
      <c r="F75" s="13">
        <v>0</v>
      </c>
      <c r="G75" s="13">
        <v>0</v>
      </c>
      <c r="H75" s="13"/>
      <c r="I75" s="14">
        <f>IFERROR(VLOOKUP(A75,'Inst Lending numbers'!A:D,4,FALSE)," ")</f>
        <v>0.14249999999999999</v>
      </c>
      <c r="J75" s="13"/>
      <c r="K75" s="13"/>
      <c r="L75" s="13"/>
      <c r="M75" s="13"/>
      <c r="N75" s="13"/>
      <c r="O75" s="13">
        <f t="shared" ref="O75:O82" ca="1" si="13">$O$4</f>
        <v>-0.12602095672146901</v>
      </c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>
        <v>0</v>
      </c>
      <c r="AB75" s="13">
        <f t="shared" ref="AB75:AB95" si="14">$AB$4</f>
        <v>0.24</v>
      </c>
      <c r="AC75" s="13"/>
      <c r="AD75" s="13"/>
      <c r="AE75" s="13">
        <f>IFERROR(SUMIF('Weekly Rates'!D:D,A75,'Weekly Rates'!F:F)/COUNTIF('Weekly Rates'!D:D,A75),0)</f>
        <v>5.5012800000000001E-2</v>
      </c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 t="s">
        <v>303</v>
      </c>
      <c r="AT75" s="13"/>
      <c r="AU75" s="13">
        <f>SUMIF('Weekly Rates'!A:A,A75,'Weekly Rates'!B:B)</f>
        <v>0</v>
      </c>
      <c r="AV75" s="13">
        <v>0</v>
      </c>
      <c r="AW75" s="13">
        <v>0</v>
      </c>
      <c r="AX75" s="13">
        <v>0</v>
      </c>
      <c r="AY75" s="13">
        <v>0</v>
      </c>
      <c r="AZ75" s="13">
        <v>0</v>
      </c>
      <c r="BA75" s="13">
        <v>0</v>
      </c>
      <c r="BB75" s="13">
        <v>0</v>
      </c>
      <c r="BC75" s="13">
        <v>0</v>
      </c>
      <c r="BD75" s="13">
        <v>0</v>
      </c>
      <c r="BE75" s="13">
        <v>0</v>
      </c>
      <c r="BF75" s="13">
        <v>0.35</v>
      </c>
      <c r="BG75" s="13">
        <v>0</v>
      </c>
      <c r="BH75" s="13">
        <v>0</v>
      </c>
      <c r="BI75" s="13">
        <v>0</v>
      </c>
      <c r="BJ75" s="13">
        <v>0</v>
      </c>
      <c r="BK75" s="13">
        <v>0</v>
      </c>
      <c r="BL75" s="13">
        <v>0</v>
      </c>
      <c r="BM75" s="13">
        <v>0</v>
      </c>
      <c r="BN75" s="13">
        <v>0</v>
      </c>
      <c r="BO75" s="13">
        <v>0</v>
      </c>
      <c r="BP75" s="13">
        <v>0</v>
      </c>
      <c r="BQ75" s="13">
        <v>0</v>
      </c>
      <c r="BR75" s="13">
        <v>0</v>
      </c>
      <c r="BS75" s="13">
        <v>50</v>
      </c>
      <c r="BT75" s="13">
        <v>50</v>
      </c>
      <c r="BU75" s="13">
        <v>50</v>
      </c>
      <c r="BV75" s="13">
        <v>50</v>
      </c>
      <c r="BW75" s="13">
        <v>50</v>
      </c>
      <c r="BX75" s="13">
        <v>50</v>
      </c>
      <c r="BY75" s="13">
        <v>50</v>
      </c>
      <c r="BZ75" s="13">
        <v>50</v>
      </c>
      <c r="CA75" s="13">
        <v>50</v>
      </c>
      <c r="CB75" s="13">
        <v>50</v>
      </c>
      <c r="CC75" s="13">
        <v>50</v>
      </c>
      <c r="CD75" s="13">
        <v>50</v>
      </c>
      <c r="CE75" s="13">
        <v>50</v>
      </c>
      <c r="CF75" s="13">
        <v>50</v>
      </c>
      <c r="CG75" s="13">
        <v>50</v>
      </c>
      <c r="CH75" s="13">
        <v>50</v>
      </c>
      <c r="CI75" s="13">
        <v>50</v>
      </c>
      <c r="CJ75" s="13">
        <v>50</v>
      </c>
      <c r="CK75" s="13">
        <v>50</v>
      </c>
      <c r="CL75" s="13">
        <v>50</v>
      </c>
      <c r="CM75" s="13">
        <v>50</v>
      </c>
      <c r="CN75" s="13">
        <v>50</v>
      </c>
      <c r="CO75" s="13">
        <v>50</v>
      </c>
      <c r="CP75" s="13">
        <v>50</v>
      </c>
      <c r="CQ75" s="13">
        <v>50</v>
      </c>
      <c r="CR75" s="13">
        <v>50</v>
      </c>
      <c r="CS75" s="13">
        <v>50</v>
      </c>
      <c r="CT75" s="13">
        <v>50</v>
      </c>
      <c r="CU75" s="13">
        <v>50</v>
      </c>
      <c r="CV75" s="13">
        <v>50</v>
      </c>
      <c r="CW75" s="13">
        <v>50</v>
      </c>
      <c r="CX75" s="13">
        <v>50</v>
      </c>
      <c r="CY75" s="13">
        <v>50</v>
      </c>
      <c r="CZ75" s="13">
        <v>50</v>
      </c>
      <c r="DA75" s="13">
        <v>50</v>
      </c>
      <c r="DB75" s="13">
        <v>50</v>
      </c>
      <c r="DC75" s="13">
        <v>50</v>
      </c>
      <c r="DD75" s="13">
        <v>50</v>
      </c>
      <c r="DE75" s="13">
        <v>50</v>
      </c>
      <c r="DF75" s="13">
        <v>50</v>
      </c>
      <c r="DG75" s="13">
        <v>50</v>
      </c>
      <c r="DH75" s="13">
        <v>50</v>
      </c>
      <c r="DI75" s="13">
        <v>50</v>
      </c>
      <c r="DJ75" s="13">
        <v>50</v>
      </c>
      <c r="DK75" s="13">
        <v>50</v>
      </c>
      <c r="DL75" s="13">
        <v>50</v>
      </c>
      <c r="DM75" s="13">
        <v>50</v>
      </c>
      <c r="DN75" s="13">
        <v>50</v>
      </c>
      <c r="DO75" s="13">
        <v>50</v>
      </c>
      <c r="DP75" s="13">
        <v>50</v>
      </c>
      <c r="DQ75" s="13">
        <v>50</v>
      </c>
      <c r="DR75" s="13">
        <v>50</v>
      </c>
      <c r="DS75" s="13">
        <v>50</v>
      </c>
      <c r="DT75" s="13"/>
      <c r="DU75" s="13">
        <v>0</v>
      </c>
      <c r="DV75" s="13">
        <v>0</v>
      </c>
      <c r="DW75" s="13">
        <v>0</v>
      </c>
      <c r="DX75" s="13"/>
      <c r="DY75" s="13">
        <v>0</v>
      </c>
      <c r="DZ75" s="13">
        <v>0</v>
      </c>
      <c r="EA75" s="13">
        <v>0</v>
      </c>
      <c r="EB75" s="13">
        <v>0</v>
      </c>
      <c r="EC75" s="13">
        <v>0</v>
      </c>
      <c r="ED75" s="13">
        <v>0</v>
      </c>
      <c r="EE75" s="13">
        <v>0</v>
      </c>
      <c r="EF75" s="13">
        <v>0</v>
      </c>
      <c r="EG75" s="13">
        <v>0</v>
      </c>
      <c r="EH75" s="13">
        <v>0</v>
      </c>
      <c r="EI75" s="13">
        <v>0</v>
      </c>
      <c r="EJ75" s="13">
        <v>0</v>
      </c>
    </row>
    <row r="76" spans="1:140" ht="15.75" customHeight="1">
      <c r="A76" s="9" t="s">
        <v>234</v>
      </c>
      <c r="B76" s="13"/>
      <c r="C76" s="13">
        <v>0</v>
      </c>
      <c r="D76" s="13">
        <v>0</v>
      </c>
      <c r="E76" s="13">
        <v>0</v>
      </c>
      <c r="F76" s="13">
        <v>0</v>
      </c>
      <c r="G76" s="13">
        <v>0</v>
      </c>
      <c r="H76" s="13"/>
      <c r="I76" s="14" t="str">
        <f>IFERROR(VLOOKUP(A76,'Inst Lending numbers'!A:D,4,FALSE)," ")</f>
        <v xml:space="preserve"> </v>
      </c>
      <c r="J76" s="13"/>
      <c r="K76" s="13"/>
      <c r="L76" s="13"/>
      <c r="M76" s="13"/>
      <c r="N76" s="13"/>
      <c r="O76" s="13">
        <f t="shared" ca="1" si="13"/>
        <v>-0.12602095672146901</v>
      </c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>
        <v>0</v>
      </c>
      <c r="AB76" s="13">
        <f t="shared" si="14"/>
        <v>0.24</v>
      </c>
      <c r="AC76" s="13"/>
      <c r="AD76" s="13"/>
      <c r="AE76" s="13">
        <f>IFERROR(SUMIF('Weekly Rates'!D:D,A76,'Weekly Rates'!F:F)/COUNTIF('Weekly Rates'!D:D,A76),0)</f>
        <v>0</v>
      </c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 t="s">
        <v>303</v>
      </c>
      <c r="AT76" s="13"/>
      <c r="AU76" s="13">
        <f>SUMIF('Weekly Rates'!A:A,A76,'Weekly Rates'!B:B)</f>
        <v>0</v>
      </c>
      <c r="AV76" s="13">
        <v>0</v>
      </c>
      <c r="AW76" s="13">
        <v>0</v>
      </c>
      <c r="AX76" s="13">
        <v>0</v>
      </c>
      <c r="AY76" s="13">
        <v>0</v>
      </c>
      <c r="AZ76" s="13">
        <v>0</v>
      </c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>
        <v>50</v>
      </c>
      <c r="BT76" s="13">
        <v>50</v>
      </c>
      <c r="BU76" s="13">
        <v>50</v>
      </c>
      <c r="BV76" s="13">
        <v>50</v>
      </c>
      <c r="BW76" s="13">
        <v>50</v>
      </c>
      <c r="BX76" s="13">
        <v>50</v>
      </c>
      <c r="BY76" s="13">
        <v>50</v>
      </c>
      <c r="BZ76" s="13">
        <v>50</v>
      </c>
      <c r="CA76" s="13">
        <v>50</v>
      </c>
      <c r="CB76" s="13">
        <v>50</v>
      </c>
      <c r="CC76" s="13">
        <v>50</v>
      </c>
      <c r="CD76" s="13">
        <v>50</v>
      </c>
      <c r="CE76" s="13">
        <v>50</v>
      </c>
      <c r="CF76" s="13">
        <v>50</v>
      </c>
      <c r="CG76" s="13">
        <v>50</v>
      </c>
      <c r="CH76" s="13">
        <v>50</v>
      </c>
      <c r="CI76" s="13">
        <v>50</v>
      </c>
      <c r="CJ76" s="13">
        <v>50</v>
      </c>
      <c r="CK76" s="13">
        <v>50</v>
      </c>
      <c r="CL76" s="13">
        <v>50</v>
      </c>
      <c r="CM76" s="13">
        <v>50</v>
      </c>
      <c r="CN76" s="13">
        <v>50</v>
      </c>
      <c r="CO76" s="13">
        <v>50</v>
      </c>
      <c r="CP76" s="13">
        <v>50</v>
      </c>
      <c r="CQ76" s="13">
        <v>50</v>
      </c>
      <c r="CR76" s="13">
        <v>50</v>
      </c>
      <c r="CS76" s="13">
        <v>50</v>
      </c>
      <c r="CT76" s="13">
        <v>50</v>
      </c>
      <c r="CU76" s="13">
        <v>50</v>
      </c>
      <c r="CV76" s="13">
        <v>50</v>
      </c>
      <c r="CW76" s="13">
        <v>50</v>
      </c>
      <c r="CX76" s="13">
        <v>50</v>
      </c>
      <c r="CY76" s="13">
        <v>50</v>
      </c>
      <c r="CZ76" s="13">
        <v>50</v>
      </c>
      <c r="DA76" s="13">
        <v>50</v>
      </c>
      <c r="DB76" s="13">
        <v>50</v>
      </c>
      <c r="DC76" s="13">
        <v>50</v>
      </c>
      <c r="DD76" s="13">
        <v>50</v>
      </c>
      <c r="DE76" s="13">
        <v>50</v>
      </c>
      <c r="DF76" s="13">
        <v>50</v>
      </c>
      <c r="DG76" s="13">
        <v>50</v>
      </c>
      <c r="DH76" s="13">
        <v>50</v>
      </c>
      <c r="DI76" s="13">
        <v>50</v>
      </c>
      <c r="DJ76" s="13">
        <v>50</v>
      </c>
      <c r="DK76" s="13">
        <v>50</v>
      </c>
      <c r="DL76" s="13">
        <v>50</v>
      </c>
      <c r="DM76" s="13">
        <v>50</v>
      </c>
      <c r="DN76" s="13">
        <v>50</v>
      </c>
      <c r="DO76" s="13">
        <v>50</v>
      </c>
      <c r="DP76" s="13">
        <v>50</v>
      </c>
      <c r="DQ76" s="13">
        <v>50</v>
      </c>
      <c r="DR76" s="13">
        <v>50</v>
      </c>
      <c r="DS76" s="13">
        <v>50</v>
      </c>
      <c r="DT76" s="13"/>
      <c r="DU76" s="13">
        <v>0</v>
      </c>
      <c r="DV76" s="13">
        <v>0</v>
      </c>
      <c r="DW76" s="13">
        <v>0</v>
      </c>
      <c r="DX76" s="13"/>
      <c r="DY76" s="13">
        <v>0</v>
      </c>
      <c r="DZ76" s="13">
        <v>0</v>
      </c>
      <c r="EA76" s="13">
        <v>0</v>
      </c>
      <c r="EB76" s="13">
        <v>0</v>
      </c>
      <c r="EC76" s="13">
        <v>0</v>
      </c>
      <c r="ED76" s="13">
        <v>0</v>
      </c>
      <c r="EE76" s="13">
        <v>0</v>
      </c>
      <c r="EF76" s="13">
        <v>0</v>
      </c>
      <c r="EG76" s="13">
        <v>0</v>
      </c>
      <c r="EH76" s="13">
        <v>0</v>
      </c>
      <c r="EI76" s="13">
        <v>0</v>
      </c>
      <c r="EJ76" s="13">
        <v>0</v>
      </c>
    </row>
    <row r="77" spans="1:140" ht="15.75" customHeight="1">
      <c r="A77" s="9" t="s">
        <v>235</v>
      </c>
      <c r="B77" s="13"/>
      <c r="C77" s="13">
        <v>0</v>
      </c>
      <c r="D77" s="13">
        <v>0</v>
      </c>
      <c r="E77" s="13">
        <v>0</v>
      </c>
      <c r="F77" s="13">
        <v>0</v>
      </c>
      <c r="G77" s="13">
        <v>0</v>
      </c>
      <c r="H77" s="13"/>
      <c r="I77" s="14" t="str">
        <f>IFERROR(VLOOKUP(A77,'Inst Lending numbers'!A:D,4,FALSE)," ")</f>
        <v xml:space="preserve"> </v>
      </c>
      <c r="J77" s="13"/>
      <c r="K77" s="13"/>
      <c r="L77" s="13"/>
      <c r="M77" s="13"/>
      <c r="N77" s="13"/>
      <c r="O77" s="13">
        <f t="shared" ca="1" si="13"/>
        <v>-0.12602095672146901</v>
      </c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>
        <v>0</v>
      </c>
      <c r="AB77" s="13">
        <f t="shared" si="14"/>
        <v>0.24</v>
      </c>
      <c r="AC77" s="13"/>
      <c r="AD77" s="13"/>
      <c r="AE77" s="13">
        <f>IFERROR(SUMIF('Weekly Rates'!D:D,A77,'Weekly Rates'!F:F)/COUNTIF('Weekly Rates'!D:D,A77),0)</f>
        <v>0</v>
      </c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 t="s">
        <v>303</v>
      </c>
      <c r="AT77" s="13"/>
      <c r="AU77" s="13">
        <f>SUMIF('Weekly Rates'!A:A,A77,'Weekly Rates'!B:B)</f>
        <v>0</v>
      </c>
      <c r="AV77" s="13">
        <v>0</v>
      </c>
      <c r="AW77" s="13">
        <v>0</v>
      </c>
      <c r="AX77" s="13">
        <v>0</v>
      </c>
      <c r="AY77" s="13">
        <v>0</v>
      </c>
      <c r="AZ77" s="13">
        <v>0</v>
      </c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>
        <v>50</v>
      </c>
      <c r="BT77" s="13">
        <v>50</v>
      </c>
      <c r="BU77" s="13">
        <v>50</v>
      </c>
      <c r="BV77" s="13">
        <v>50</v>
      </c>
      <c r="BW77" s="13">
        <v>50</v>
      </c>
      <c r="BX77" s="13">
        <v>50</v>
      </c>
      <c r="BY77" s="13">
        <v>50</v>
      </c>
      <c r="BZ77" s="13">
        <v>50</v>
      </c>
      <c r="CA77" s="13">
        <v>50</v>
      </c>
      <c r="CB77" s="13">
        <v>50</v>
      </c>
      <c r="CC77" s="13">
        <v>50</v>
      </c>
      <c r="CD77" s="13">
        <v>50</v>
      </c>
      <c r="CE77" s="13">
        <v>50</v>
      </c>
      <c r="CF77" s="13">
        <v>50</v>
      </c>
      <c r="CG77" s="13">
        <v>50</v>
      </c>
      <c r="CH77" s="13">
        <v>50</v>
      </c>
      <c r="CI77" s="13">
        <v>50</v>
      </c>
      <c r="CJ77" s="13">
        <v>50</v>
      </c>
      <c r="CK77" s="13">
        <v>50</v>
      </c>
      <c r="CL77" s="13">
        <v>50</v>
      </c>
      <c r="CM77" s="13">
        <v>50</v>
      </c>
      <c r="CN77" s="13">
        <v>50</v>
      </c>
      <c r="CO77" s="13">
        <v>50</v>
      </c>
      <c r="CP77" s="13">
        <v>50</v>
      </c>
      <c r="CQ77" s="13">
        <v>50</v>
      </c>
      <c r="CR77" s="13">
        <v>50</v>
      </c>
      <c r="CS77" s="13">
        <v>50</v>
      </c>
      <c r="CT77" s="13">
        <v>50</v>
      </c>
      <c r="CU77" s="13">
        <v>50</v>
      </c>
      <c r="CV77" s="13">
        <v>50</v>
      </c>
      <c r="CW77" s="13">
        <v>50</v>
      </c>
      <c r="CX77" s="13">
        <v>50</v>
      </c>
      <c r="CY77" s="13">
        <v>50</v>
      </c>
      <c r="CZ77" s="13">
        <v>50</v>
      </c>
      <c r="DA77" s="13">
        <v>50</v>
      </c>
      <c r="DB77" s="13">
        <v>50</v>
      </c>
      <c r="DC77" s="13">
        <v>50</v>
      </c>
      <c r="DD77" s="13">
        <v>50</v>
      </c>
      <c r="DE77" s="13">
        <v>50</v>
      </c>
      <c r="DF77" s="13">
        <v>50</v>
      </c>
      <c r="DG77" s="13">
        <v>50</v>
      </c>
      <c r="DH77" s="13">
        <v>50</v>
      </c>
      <c r="DI77" s="13">
        <v>50</v>
      </c>
      <c r="DJ77" s="13">
        <v>50</v>
      </c>
      <c r="DK77" s="13">
        <v>50</v>
      </c>
      <c r="DL77" s="13">
        <v>50</v>
      </c>
      <c r="DM77" s="13">
        <v>50</v>
      </c>
      <c r="DN77" s="13">
        <v>50</v>
      </c>
      <c r="DO77" s="13">
        <v>50</v>
      </c>
      <c r="DP77" s="13">
        <v>50</v>
      </c>
      <c r="DQ77" s="13">
        <v>50</v>
      </c>
      <c r="DR77" s="13">
        <v>50</v>
      </c>
      <c r="DS77" s="13">
        <v>50</v>
      </c>
      <c r="DT77" s="13"/>
      <c r="DU77" s="13">
        <v>0</v>
      </c>
      <c r="DV77" s="13">
        <v>0</v>
      </c>
      <c r="DW77" s="13">
        <v>0</v>
      </c>
      <c r="DX77" s="13"/>
      <c r="DY77" s="13">
        <v>0</v>
      </c>
      <c r="DZ77" s="13">
        <v>0</v>
      </c>
      <c r="EA77" s="13">
        <v>0</v>
      </c>
      <c r="EB77" s="13">
        <v>0</v>
      </c>
      <c r="EC77" s="13">
        <v>0</v>
      </c>
      <c r="ED77" s="13">
        <v>0</v>
      </c>
      <c r="EE77" s="13">
        <v>0</v>
      </c>
      <c r="EF77" s="13">
        <v>0</v>
      </c>
      <c r="EG77" s="13">
        <v>0</v>
      </c>
      <c r="EH77" s="13">
        <v>0</v>
      </c>
      <c r="EI77" s="13">
        <v>0</v>
      </c>
      <c r="EJ77" s="13">
        <v>0</v>
      </c>
    </row>
    <row r="78" spans="1:140" ht="15.75" customHeight="1">
      <c r="A78" s="9" t="s">
        <v>236</v>
      </c>
      <c r="B78" s="13"/>
      <c r="C78" s="13">
        <v>0</v>
      </c>
      <c r="D78" s="13">
        <v>0</v>
      </c>
      <c r="E78" s="13">
        <v>0</v>
      </c>
      <c r="F78" s="13">
        <v>0</v>
      </c>
      <c r="G78" s="13">
        <v>0</v>
      </c>
      <c r="H78" s="13"/>
      <c r="I78" s="14">
        <f>IFERROR(VLOOKUP(A78,'Inst Lending numbers'!A:D,4,FALSE)," ")</f>
        <v>0.14729999999999999</v>
      </c>
      <c r="J78" s="13"/>
      <c r="K78" s="13"/>
      <c r="L78" s="13"/>
      <c r="M78" s="13"/>
      <c r="N78" s="13"/>
      <c r="O78" s="13">
        <f t="shared" ca="1" si="13"/>
        <v>-0.12602095672146901</v>
      </c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>
        <v>0</v>
      </c>
      <c r="AB78" s="13">
        <f t="shared" si="14"/>
        <v>0.24</v>
      </c>
      <c r="AC78" s="13"/>
      <c r="AD78" s="13"/>
      <c r="AE78" s="13">
        <f>IFERROR(SUMIF('Weekly Rates'!D:D,A78,'Weekly Rates'!F:F)/COUNTIF('Weekly Rates'!D:D,A78),0)</f>
        <v>0</v>
      </c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 t="s">
        <v>303</v>
      </c>
      <c r="AT78" s="13"/>
      <c r="AU78" s="13">
        <f>SUMIF('Weekly Rates'!A:A,A78,'Weekly Rates'!B:B)</f>
        <v>0</v>
      </c>
      <c r="AV78" s="13">
        <v>0</v>
      </c>
      <c r="AW78" s="13">
        <v>0</v>
      </c>
      <c r="AX78" s="13">
        <v>0</v>
      </c>
      <c r="AY78" s="13">
        <v>0</v>
      </c>
      <c r="AZ78" s="13">
        <v>0</v>
      </c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>
        <v>50</v>
      </c>
      <c r="BT78" s="13">
        <v>50</v>
      </c>
      <c r="BU78" s="13">
        <v>50</v>
      </c>
      <c r="BV78" s="13">
        <v>50</v>
      </c>
      <c r="BW78" s="13">
        <v>50</v>
      </c>
      <c r="BX78" s="13">
        <v>50</v>
      </c>
      <c r="BY78" s="13">
        <v>50</v>
      </c>
      <c r="BZ78" s="13">
        <v>50</v>
      </c>
      <c r="CA78" s="13">
        <v>50</v>
      </c>
      <c r="CB78" s="13">
        <v>50</v>
      </c>
      <c r="CC78" s="13">
        <v>50</v>
      </c>
      <c r="CD78" s="13">
        <v>50</v>
      </c>
      <c r="CE78" s="13">
        <v>50</v>
      </c>
      <c r="CF78" s="13">
        <v>50</v>
      </c>
      <c r="CG78" s="13">
        <v>50</v>
      </c>
      <c r="CH78" s="13">
        <v>50</v>
      </c>
      <c r="CI78" s="13">
        <v>50</v>
      </c>
      <c r="CJ78" s="13">
        <v>50</v>
      </c>
      <c r="CK78" s="13">
        <v>50</v>
      </c>
      <c r="CL78" s="13">
        <v>50</v>
      </c>
      <c r="CM78" s="13">
        <v>50</v>
      </c>
      <c r="CN78" s="13">
        <v>50</v>
      </c>
      <c r="CO78" s="13">
        <v>50</v>
      </c>
      <c r="CP78" s="13">
        <v>50</v>
      </c>
      <c r="CQ78" s="13">
        <v>50</v>
      </c>
      <c r="CR78" s="13">
        <v>50</v>
      </c>
      <c r="CS78" s="13">
        <v>50</v>
      </c>
      <c r="CT78" s="13">
        <v>50</v>
      </c>
      <c r="CU78" s="13">
        <v>50</v>
      </c>
      <c r="CV78" s="13">
        <v>50</v>
      </c>
      <c r="CW78" s="13">
        <v>50</v>
      </c>
      <c r="CX78" s="13">
        <v>50</v>
      </c>
      <c r="CY78" s="13">
        <v>50</v>
      </c>
      <c r="CZ78" s="13">
        <v>50</v>
      </c>
      <c r="DA78" s="13">
        <v>50</v>
      </c>
      <c r="DB78" s="13">
        <v>50</v>
      </c>
      <c r="DC78" s="13">
        <v>50</v>
      </c>
      <c r="DD78" s="13">
        <v>50</v>
      </c>
      <c r="DE78" s="13">
        <v>50</v>
      </c>
      <c r="DF78" s="13">
        <v>50</v>
      </c>
      <c r="DG78" s="13">
        <v>50</v>
      </c>
      <c r="DH78" s="13">
        <v>50</v>
      </c>
      <c r="DI78" s="13">
        <v>50</v>
      </c>
      <c r="DJ78" s="13">
        <v>50</v>
      </c>
      <c r="DK78" s="13">
        <v>50</v>
      </c>
      <c r="DL78" s="13">
        <v>50</v>
      </c>
      <c r="DM78" s="13">
        <v>50</v>
      </c>
      <c r="DN78" s="13">
        <v>50</v>
      </c>
      <c r="DO78" s="13">
        <v>50</v>
      </c>
      <c r="DP78" s="13">
        <v>50</v>
      </c>
      <c r="DQ78" s="13">
        <v>50</v>
      </c>
      <c r="DR78" s="13">
        <v>50</v>
      </c>
      <c r="DS78" s="13">
        <v>50</v>
      </c>
      <c r="DT78" s="13"/>
      <c r="DU78" s="13">
        <v>0</v>
      </c>
      <c r="DV78" s="13">
        <v>0.1469</v>
      </c>
      <c r="DW78" s="13">
        <v>0</v>
      </c>
      <c r="DX78" s="13"/>
      <c r="DY78" s="13">
        <v>0</v>
      </c>
      <c r="DZ78" s="13">
        <v>0</v>
      </c>
      <c r="EA78" s="13">
        <v>0</v>
      </c>
      <c r="EB78" s="13">
        <v>0</v>
      </c>
      <c r="EC78" s="13">
        <v>0</v>
      </c>
      <c r="ED78" s="13">
        <v>0</v>
      </c>
      <c r="EE78" s="13">
        <v>0</v>
      </c>
      <c r="EF78" s="13">
        <v>0</v>
      </c>
      <c r="EG78" s="13">
        <v>0</v>
      </c>
      <c r="EH78" s="13">
        <v>0</v>
      </c>
      <c r="EI78" s="13">
        <v>0</v>
      </c>
      <c r="EJ78" s="13">
        <v>0</v>
      </c>
    </row>
    <row r="79" spans="1:140" ht="15.75" customHeight="1">
      <c r="A79" s="9" t="s">
        <v>237</v>
      </c>
      <c r="B79" s="13"/>
      <c r="C79" s="13">
        <v>0</v>
      </c>
      <c r="D79" s="13">
        <v>0</v>
      </c>
      <c r="E79" s="13">
        <v>0</v>
      </c>
      <c r="F79" s="13">
        <v>0</v>
      </c>
      <c r="G79" s="13">
        <v>0</v>
      </c>
      <c r="H79" s="13"/>
      <c r="I79" s="14" t="str">
        <f>IFERROR(VLOOKUP(A79,'Inst Lending numbers'!A:D,4,FALSE)," ")</f>
        <v xml:space="preserve"> </v>
      </c>
      <c r="J79" s="13"/>
      <c r="K79" s="13"/>
      <c r="L79" s="13"/>
      <c r="M79" s="13"/>
      <c r="N79" s="13"/>
      <c r="O79" s="13">
        <f t="shared" ca="1" si="13"/>
        <v>-0.12602095672146901</v>
      </c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>
        <v>0</v>
      </c>
      <c r="AB79" s="13">
        <f t="shared" si="14"/>
        <v>0.24</v>
      </c>
      <c r="AC79" s="13"/>
      <c r="AD79" s="13"/>
      <c r="AE79" s="13">
        <f>IFERROR(SUMIF('Weekly Rates'!D:D,A79,'Weekly Rates'!F:F)/COUNTIF('Weekly Rates'!D:D,A79),0)</f>
        <v>0</v>
      </c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 t="s">
        <v>303</v>
      </c>
      <c r="AT79" s="13"/>
      <c r="AU79" s="13">
        <f>SUMIF('Weekly Rates'!A:A,A79,'Weekly Rates'!B:B)</f>
        <v>0</v>
      </c>
      <c r="AV79" s="13">
        <v>0</v>
      </c>
      <c r="AW79" s="13">
        <v>0</v>
      </c>
      <c r="AX79" s="13">
        <v>0</v>
      </c>
      <c r="AY79" s="13">
        <v>0</v>
      </c>
      <c r="AZ79" s="13">
        <v>0</v>
      </c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>
        <v>50</v>
      </c>
      <c r="BT79" s="13">
        <v>50</v>
      </c>
      <c r="BU79" s="13">
        <v>50</v>
      </c>
      <c r="BV79" s="13">
        <v>50</v>
      </c>
      <c r="BW79" s="13">
        <v>50</v>
      </c>
      <c r="BX79" s="13">
        <v>50</v>
      </c>
      <c r="BY79" s="13">
        <v>50</v>
      </c>
      <c r="BZ79" s="13">
        <v>50</v>
      </c>
      <c r="CA79" s="13">
        <v>50</v>
      </c>
      <c r="CB79" s="13">
        <v>50</v>
      </c>
      <c r="CC79" s="13">
        <v>50</v>
      </c>
      <c r="CD79" s="13">
        <v>50</v>
      </c>
      <c r="CE79" s="13">
        <v>50</v>
      </c>
      <c r="CF79" s="13">
        <v>50</v>
      </c>
      <c r="CG79" s="13">
        <v>50</v>
      </c>
      <c r="CH79" s="13">
        <v>50</v>
      </c>
      <c r="CI79" s="13">
        <v>50</v>
      </c>
      <c r="CJ79" s="13">
        <v>50</v>
      </c>
      <c r="CK79" s="13">
        <v>50</v>
      </c>
      <c r="CL79" s="13">
        <v>50</v>
      </c>
      <c r="CM79" s="13">
        <v>50</v>
      </c>
      <c r="CN79" s="13">
        <v>50</v>
      </c>
      <c r="CO79" s="13">
        <v>50</v>
      </c>
      <c r="CP79" s="13">
        <v>50</v>
      </c>
      <c r="CQ79" s="13">
        <v>50</v>
      </c>
      <c r="CR79" s="13">
        <v>50</v>
      </c>
      <c r="CS79" s="13">
        <v>50</v>
      </c>
      <c r="CT79" s="13">
        <v>50</v>
      </c>
      <c r="CU79" s="13">
        <v>50</v>
      </c>
      <c r="CV79" s="13">
        <v>50</v>
      </c>
      <c r="CW79" s="13">
        <v>50</v>
      </c>
      <c r="CX79" s="13">
        <v>50</v>
      </c>
      <c r="CY79" s="13">
        <v>50</v>
      </c>
      <c r="CZ79" s="13">
        <v>50</v>
      </c>
      <c r="DA79" s="13">
        <v>50</v>
      </c>
      <c r="DB79" s="13">
        <v>50</v>
      </c>
      <c r="DC79" s="13">
        <v>50</v>
      </c>
      <c r="DD79" s="13">
        <v>50</v>
      </c>
      <c r="DE79" s="13">
        <v>50</v>
      </c>
      <c r="DF79" s="13">
        <v>50</v>
      </c>
      <c r="DG79" s="13">
        <v>50</v>
      </c>
      <c r="DH79" s="13">
        <v>50</v>
      </c>
      <c r="DI79" s="13">
        <v>50</v>
      </c>
      <c r="DJ79" s="13">
        <v>50</v>
      </c>
      <c r="DK79" s="13">
        <v>50</v>
      </c>
      <c r="DL79" s="13">
        <v>50</v>
      </c>
      <c r="DM79" s="13">
        <v>50</v>
      </c>
      <c r="DN79" s="13">
        <v>50</v>
      </c>
      <c r="DO79" s="13">
        <v>50</v>
      </c>
      <c r="DP79" s="13">
        <v>50</v>
      </c>
      <c r="DQ79" s="13">
        <v>50</v>
      </c>
      <c r="DR79" s="13">
        <v>50</v>
      </c>
      <c r="DS79" s="13">
        <v>50</v>
      </c>
      <c r="DT79" s="13"/>
      <c r="DU79" s="13">
        <v>0</v>
      </c>
      <c r="DV79" s="13">
        <v>0</v>
      </c>
      <c r="DW79" s="13">
        <v>0</v>
      </c>
      <c r="DX79" s="13"/>
      <c r="DY79" s="13">
        <v>0</v>
      </c>
      <c r="DZ79" s="13">
        <v>0</v>
      </c>
      <c r="EA79" s="13">
        <v>0</v>
      </c>
      <c r="EB79" s="13">
        <v>0</v>
      </c>
      <c r="EC79" s="13">
        <v>0</v>
      </c>
      <c r="ED79" s="13">
        <v>0</v>
      </c>
      <c r="EE79" s="13">
        <v>0</v>
      </c>
      <c r="EF79" s="13">
        <v>0</v>
      </c>
      <c r="EG79" s="13">
        <v>0</v>
      </c>
      <c r="EH79" s="13">
        <v>0</v>
      </c>
      <c r="EI79" s="13">
        <v>0</v>
      </c>
      <c r="EJ79" s="13">
        <v>0</v>
      </c>
    </row>
    <row r="80" spans="1:140" ht="15.75" customHeight="1">
      <c r="A80" s="9" t="s">
        <v>238</v>
      </c>
      <c r="B80" s="13"/>
      <c r="C80" s="13">
        <v>0</v>
      </c>
      <c r="D80" s="13">
        <v>0</v>
      </c>
      <c r="E80" s="13">
        <v>0</v>
      </c>
      <c r="F80" s="13">
        <v>0</v>
      </c>
      <c r="G80" s="13">
        <v>0</v>
      </c>
      <c r="H80" s="13"/>
      <c r="I80" s="14" t="str">
        <f>IFERROR(VLOOKUP(A80,'Inst Lending numbers'!A:D,4,FALSE)," ")</f>
        <v xml:space="preserve"> </v>
      </c>
      <c r="J80" s="13"/>
      <c r="K80" s="13"/>
      <c r="L80" s="13"/>
      <c r="M80" s="13"/>
      <c r="N80" s="13"/>
      <c r="O80" s="13">
        <f t="shared" ca="1" si="13"/>
        <v>-0.12602095672146901</v>
      </c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>
        <v>0</v>
      </c>
      <c r="AB80" s="13">
        <f t="shared" si="14"/>
        <v>0.24</v>
      </c>
      <c r="AC80" s="13"/>
      <c r="AD80" s="13"/>
      <c r="AE80" s="13">
        <f>IFERROR(SUMIF('Weekly Rates'!D:D,A80,'Weekly Rates'!F:F)/COUNTIF('Weekly Rates'!D:D,A80),0)</f>
        <v>0</v>
      </c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 t="s">
        <v>303</v>
      </c>
      <c r="AT80" s="13"/>
      <c r="AU80" s="13">
        <f>SUMIF('Weekly Rates'!A:A,A80,'Weekly Rates'!B:B)</f>
        <v>0</v>
      </c>
      <c r="AV80" s="13">
        <v>0</v>
      </c>
      <c r="AW80" s="13">
        <v>0</v>
      </c>
      <c r="AX80" s="13">
        <v>0</v>
      </c>
      <c r="AY80" s="13">
        <v>0</v>
      </c>
      <c r="AZ80" s="13">
        <v>0</v>
      </c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>
        <v>50</v>
      </c>
      <c r="BT80" s="13">
        <v>50</v>
      </c>
      <c r="BU80" s="13">
        <v>50</v>
      </c>
      <c r="BV80" s="13">
        <v>50</v>
      </c>
      <c r="BW80" s="13">
        <v>50</v>
      </c>
      <c r="BX80" s="13">
        <v>50</v>
      </c>
      <c r="BY80" s="13">
        <v>50</v>
      </c>
      <c r="BZ80" s="13">
        <v>50</v>
      </c>
      <c r="CA80" s="13">
        <v>50</v>
      </c>
      <c r="CB80" s="13">
        <v>50</v>
      </c>
      <c r="CC80" s="13">
        <v>50</v>
      </c>
      <c r="CD80" s="13">
        <v>50</v>
      </c>
      <c r="CE80" s="13">
        <v>50</v>
      </c>
      <c r="CF80" s="13">
        <v>50</v>
      </c>
      <c r="CG80" s="13">
        <v>50</v>
      </c>
      <c r="CH80" s="13">
        <v>50</v>
      </c>
      <c r="CI80" s="13">
        <v>50</v>
      </c>
      <c r="CJ80" s="13">
        <v>50</v>
      </c>
      <c r="CK80" s="13">
        <v>50</v>
      </c>
      <c r="CL80" s="13">
        <v>50</v>
      </c>
      <c r="CM80" s="13">
        <v>50</v>
      </c>
      <c r="CN80" s="13">
        <v>50</v>
      </c>
      <c r="CO80" s="13">
        <v>50</v>
      </c>
      <c r="CP80" s="13">
        <v>50</v>
      </c>
      <c r="CQ80" s="13">
        <v>50</v>
      </c>
      <c r="CR80" s="13">
        <v>50</v>
      </c>
      <c r="CS80" s="13">
        <v>50</v>
      </c>
      <c r="CT80" s="13">
        <v>50</v>
      </c>
      <c r="CU80" s="13">
        <v>50</v>
      </c>
      <c r="CV80" s="13">
        <v>50</v>
      </c>
      <c r="CW80" s="13">
        <v>50</v>
      </c>
      <c r="CX80" s="13">
        <v>50</v>
      </c>
      <c r="CY80" s="13">
        <v>50</v>
      </c>
      <c r="CZ80" s="13">
        <v>50</v>
      </c>
      <c r="DA80" s="13">
        <v>50</v>
      </c>
      <c r="DB80" s="13">
        <v>50</v>
      </c>
      <c r="DC80" s="13">
        <v>50</v>
      </c>
      <c r="DD80" s="13">
        <v>50</v>
      </c>
      <c r="DE80" s="13">
        <v>50</v>
      </c>
      <c r="DF80" s="13">
        <v>50</v>
      </c>
      <c r="DG80" s="13">
        <v>50</v>
      </c>
      <c r="DH80" s="13">
        <v>50</v>
      </c>
      <c r="DI80" s="13">
        <v>50</v>
      </c>
      <c r="DJ80" s="13">
        <v>50</v>
      </c>
      <c r="DK80" s="13">
        <v>50</v>
      </c>
      <c r="DL80" s="13">
        <v>50</v>
      </c>
      <c r="DM80" s="13">
        <v>50</v>
      </c>
      <c r="DN80" s="13">
        <v>50</v>
      </c>
      <c r="DO80" s="13">
        <v>50</v>
      </c>
      <c r="DP80" s="13">
        <v>50</v>
      </c>
      <c r="DQ80" s="13">
        <v>50</v>
      </c>
      <c r="DR80" s="13">
        <v>50</v>
      </c>
      <c r="DS80" s="13">
        <v>50</v>
      </c>
      <c r="DT80" s="13"/>
      <c r="DU80" s="13">
        <v>0</v>
      </c>
      <c r="DV80" s="13">
        <v>0</v>
      </c>
      <c r="DW80" s="13">
        <v>0</v>
      </c>
      <c r="DX80" s="13"/>
      <c r="DY80" s="13">
        <v>0</v>
      </c>
      <c r="DZ80" s="13">
        <v>0</v>
      </c>
      <c r="EA80" s="13">
        <v>0</v>
      </c>
      <c r="EB80" s="13">
        <v>0</v>
      </c>
      <c r="EC80" s="13">
        <v>0</v>
      </c>
      <c r="ED80" s="13">
        <v>0</v>
      </c>
      <c r="EE80" s="13">
        <v>0</v>
      </c>
      <c r="EF80" s="13">
        <v>0</v>
      </c>
      <c r="EG80" s="13">
        <v>0</v>
      </c>
      <c r="EH80" s="13">
        <v>0</v>
      </c>
      <c r="EI80" s="13">
        <v>0</v>
      </c>
      <c r="EJ80" s="13">
        <v>0</v>
      </c>
    </row>
    <row r="81" spans="1:140" ht="15.75" customHeight="1">
      <c r="A81" s="9" t="s">
        <v>239</v>
      </c>
      <c r="B81" s="13"/>
      <c r="C81" s="13">
        <v>0</v>
      </c>
      <c r="D81" s="13">
        <v>0</v>
      </c>
      <c r="E81" s="13">
        <v>0</v>
      </c>
      <c r="F81" s="13">
        <v>0</v>
      </c>
      <c r="G81" s="13">
        <v>0</v>
      </c>
      <c r="H81" s="13"/>
      <c r="I81" s="14" t="str">
        <f>IFERROR(VLOOKUP(A81,'Inst Lending numbers'!A:D,4,FALSE)," ")</f>
        <v xml:space="preserve"> </v>
      </c>
      <c r="J81" s="13"/>
      <c r="K81" s="13"/>
      <c r="L81" s="13"/>
      <c r="M81" s="13"/>
      <c r="N81" s="13"/>
      <c r="O81" s="13">
        <f t="shared" ca="1" si="13"/>
        <v>-0.12602095672146901</v>
      </c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>
        <v>0</v>
      </c>
      <c r="AB81" s="13">
        <f t="shared" si="14"/>
        <v>0.24</v>
      </c>
      <c r="AC81" s="13"/>
      <c r="AD81" s="13"/>
      <c r="AE81" s="13">
        <f>IFERROR(SUMIF('Weekly Rates'!D:D,A81,'Weekly Rates'!F:F)/COUNTIF('Weekly Rates'!D:D,A81),0)</f>
        <v>0</v>
      </c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 t="s">
        <v>303</v>
      </c>
      <c r="AT81" s="13"/>
      <c r="AU81" s="13">
        <f>SUMIF('Weekly Rates'!A:A,A81,'Weekly Rates'!B:B)</f>
        <v>0</v>
      </c>
      <c r="AV81" s="13">
        <v>0</v>
      </c>
      <c r="AW81" s="13">
        <v>0</v>
      </c>
      <c r="AX81" s="13">
        <v>0</v>
      </c>
      <c r="AY81" s="13">
        <v>0</v>
      </c>
      <c r="AZ81" s="13">
        <v>0</v>
      </c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>
        <v>50</v>
      </c>
      <c r="BT81" s="13">
        <v>50</v>
      </c>
      <c r="BU81" s="13">
        <v>50</v>
      </c>
      <c r="BV81" s="13">
        <v>50</v>
      </c>
      <c r="BW81" s="13">
        <v>50</v>
      </c>
      <c r="BX81" s="13">
        <v>50</v>
      </c>
      <c r="BY81" s="13">
        <v>50</v>
      </c>
      <c r="BZ81" s="13">
        <v>50</v>
      </c>
      <c r="CA81" s="13">
        <v>50</v>
      </c>
      <c r="CB81" s="13">
        <v>50</v>
      </c>
      <c r="CC81" s="13">
        <v>50</v>
      </c>
      <c r="CD81" s="13">
        <v>50</v>
      </c>
      <c r="CE81" s="13">
        <v>50</v>
      </c>
      <c r="CF81" s="13">
        <v>50</v>
      </c>
      <c r="CG81" s="13">
        <v>50</v>
      </c>
      <c r="CH81" s="13">
        <v>50</v>
      </c>
      <c r="CI81" s="13">
        <v>50</v>
      </c>
      <c r="CJ81" s="13">
        <v>50</v>
      </c>
      <c r="CK81" s="13">
        <v>50</v>
      </c>
      <c r="CL81" s="13">
        <v>50</v>
      </c>
      <c r="CM81" s="13">
        <v>50</v>
      </c>
      <c r="CN81" s="13">
        <v>50</v>
      </c>
      <c r="CO81" s="13">
        <v>50</v>
      </c>
      <c r="CP81" s="13">
        <v>50</v>
      </c>
      <c r="CQ81" s="13">
        <v>50</v>
      </c>
      <c r="CR81" s="13">
        <v>50</v>
      </c>
      <c r="CS81" s="13">
        <v>50</v>
      </c>
      <c r="CT81" s="13">
        <v>50</v>
      </c>
      <c r="CU81" s="13">
        <v>50</v>
      </c>
      <c r="CV81" s="13">
        <v>50</v>
      </c>
      <c r="CW81" s="13">
        <v>50</v>
      </c>
      <c r="CX81" s="13">
        <v>50</v>
      </c>
      <c r="CY81" s="13">
        <v>50</v>
      </c>
      <c r="CZ81" s="13">
        <v>50</v>
      </c>
      <c r="DA81" s="13">
        <v>50</v>
      </c>
      <c r="DB81" s="13">
        <v>50</v>
      </c>
      <c r="DC81" s="13">
        <v>50</v>
      </c>
      <c r="DD81" s="13">
        <v>50</v>
      </c>
      <c r="DE81" s="13">
        <v>50</v>
      </c>
      <c r="DF81" s="13">
        <v>50</v>
      </c>
      <c r="DG81" s="13">
        <v>50</v>
      </c>
      <c r="DH81" s="13">
        <v>50</v>
      </c>
      <c r="DI81" s="13">
        <v>50</v>
      </c>
      <c r="DJ81" s="13">
        <v>50</v>
      </c>
      <c r="DK81" s="13">
        <v>50</v>
      </c>
      <c r="DL81" s="13">
        <v>50</v>
      </c>
      <c r="DM81" s="13">
        <v>50</v>
      </c>
      <c r="DN81" s="13">
        <v>50</v>
      </c>
      <c r="DO81" s="13">
        <v>50</v>
      </c>
      <c r="DP81" s="13">
        <v>50</v>
      </c>
      <c r="DQ81" s="13">
        <v>50</v>
      </c>
      <c r="DR81" s="13">
        <v>50</v>
      </c>
      <c r="DS81" s="13">
        <v>50</v>
      </c>
      <c r="DT81" s="13"/>
      <c r="DU81" s="13">
        <v>0</v>
      </c>
      <c r="DV81" s="13">
        <v>0</v>
      </c>
      <c r="DW81" s="13">
        <v>0</v>
      </c>
      <c r="DX81" s="13"/>
      <c r="DY81" s="13">
        <v>0</v>
      </c>
      <c r="DZ81" s="13">
        <v>0</v>
      </c>
      <c r="EA81" s="13">
        <v>0</v>
      </c>
      <c r="EB81" s="13">
        <v>0</v>
      </c>
      <c r="EC81" s="13">
        <v>0</v>
      </c>
      <c r="ED81" s="13">
        <v>0</v>
      </c>
      <c r="EE81" s="13">
        <v>0</v>
      </c>
      <c r="EF81" s="13">
        <v>0</v>
      </c>
      <c r="EG81" s="13">
        <v>0</v>
      </c>
      <c r="EH81" s="13">
        <v>0</v>
      </c>
      <c r="EI81" s="13">
        <v>0</v>
      </c>
      <c r="EJ81" s="13">
        <v>0</v>
      </c>
    </row>
    <row r="82" spans="1:140" ht="15.75" customHeight="1">
      <c r="A82" s="9" t="s">
        <v>240</v>
      </c>
      <c r="B82" s="13"/>
      <c r="C82" s="13">
        <v>0</v>
      </c>
      <c r="D82" s="13">
        <v>0</v>
      </c>
      <c r="E82" s="13">
        <v>0</v>
      </c>
      <c r="F82" s="13">
        <v>0</v>
      </c>
      <c r="G82" s="13">
        <v>0</v>
      </c>
      <c r="H82" s="13"/>
      <c r="I82" s="14" t="str">
        <f>IFERROR(VLOOKUP(A82,'Inst Lending numbers'!A:D,4,FALSE)," ")</f>
        <v xml:space="preserve"> </v>
      </c>
      <c r="J82" s="13"/>
      <c r="K82" s="13"/>
      <c r="L82" s="13"/>
      <c r="M82" s="13"/>
      <c r="N82" s="13"/>
      <c r="O82" s="13">
        <f t="shared" ca="1" si="13"/>
        <v>-0.12602095672146901</v>
      </c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>
        <v>0</v>
      </c>
      <c r="AB82" s="13">
        <f t="shared" si="14"/>
        <v>0.24</v>
      </c>
      <c r="AC82" s="13"/>
      <c r="AD82" s="13"/>
      <c r="AE82" s="13">
        <f>IFERROR(SUMIF('Weekly Rates'!D:D,A82,'Weekly Rates'!F:F)/COUNTIF('Weekly Rates'!D:D,A82),0)</f>
        <v>0</v>
      </c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 t="s">
        <v>303</v>
      </c>
      <c r="AT82" s="13"/>
      <c r="AU82" s="13">
        <f>SUMIF('Weekly Rates'!A:A,A82,'Weekly Rates'!B:B)</f>
        <v>0</v>
      </c>
      <c r="AV82" s="13">
        <v>0</v>
      </c>
      <c r="AW82" s="13">
        <v>0</v>
      </c>
      <c r="AX82" s="13">
        <v>0</v>
      </c>
      <c r="AY82" s="13">
        <v>0</v>
      </c>
      <c r="AZ82" s="13">
        <v>0</v>
      </c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>
        <v>50</v>
      </c>
      <c r="BT82" s="13">
        <v>50</v>
      </c>
      <c r="BU82" s="13">
        <v>50</v>
      </c>
      <c r="BV82" s="13">
        <v>50</v>
      </c>
      <c r="BW82" s="13">
        <v>50</v>
      </c>
      <c r="BX82" s="13">
        <v>50</v>
      </c>
      <c r="BY82" s="13">
        <v>50</v>
      </c>
      <c r="BZ82" s="13">
        <v>50</v>
      </c>
      <c r="CA82" s="13">
        <v>50</v>
      </c>
      <c r="CB82" s="13">
        <v>50</v>
      </c>
      <c r="CC82" s="13">
        <v>50</v>
      </c>
      <c r="CD82" s="13">
        <v>50</v>
      </c>
      <c r="CE82" s="13">
        <v>50</v>
      </c>
      <c r="CF82" s="13">
        <v>50</v>
      </c>
      <c r="CG82" s="13">
        <v>50</v>
      </c>
      <c r="CH82" s="13">
        <v>50</v>
      </c>
      <c r="CI82" s="13">
        <v>50</v>
      </c>
      <c r="CJ82" s="13">
        <v>50</v>
      </c>
      <c r="CK82" s="13">
        <v>50</v>
      </c>
      <c r="CL82" s="13">
        <v>50</v>
      </c>
      <c r="CM82" s="13">
        <v>50</v>
      </c>
      <c r="CN82" s="13">
        <v>50</v>
      </c>
      <c r="CO82" s="13">
        <v>50</v>
      </c>
      <c r="CP82" s="13">
        <v>50</v>
      </c>
      <c r="CQ82" s="13">
        <v>50</v>
      </c>
      <c r="CR82" s="13">
        <v>50</v>
      </c>
      <c r="CS82" s="13">
        <v>50</v>
      </c>
      <c r="CT82" s="13">
        <v>50</v>
      </c>
      <c r="CU82" s="13">
        <v>50</v>
      </c>
      <c r="CV82" s="13">
        <v>50</v>
      </c>
      <c r="CW82" s="13">
        <v>50</v>
      </c>
      <c r="CX82" s="13">
        <v>50</v>
      </c>
      <c r="CY82" s="13">
        <v>50</v>
      </c>
      <c r="CZ82" s="13">
        <v>50</v>
      </c>
      <c r="DA82" s="13">
        <v>50</v>
      </c>
      <c r="DB82" s="13">
        <v>50</v>
      </c>
      <c r="DC82" s="13">
        <v>50</v>
      </c>
      <c r="DD82" s="13">
        <v>50</v>
      </c>
      <c r="DE82" s="13">
        <v>50</v>
      </c>
      <c r="DF82" s="13">
        <v>50</v>
      </c>
      <c r="DG82" s="13">
        <v>50</v>
      </c>
      <c r="DH82" s="13">
        <v>50</v>
      </c>
      <c r="DI82" s="13">
        <v>50</v>
      </c>
      <c r="DJ82" s="13">
        <v>50</v>
      </c>
      <c r="DK82" s="13">
        <v>50</v>
      </c>
      <c r="DL82" s="13">
        <v>50</v>
      </c>
      <c r="DM82" s="13">
        <v>50</v>
      </c>
      <c r="DN82" s="13">
        <v>50</v>
      </c>
      <c r="DO82" s="13">
        <v>50</v>
      </c>
      <c r="DP82" s="13">
        <v>50</v>
      </c>
      <c r="DQ82" s="13">
        <v>50</v>
      </c>
      <c r="DR82" s="13">
        <v>50</v>
      </c>
      <c r="DS82" s="13">
        <v>50</v>
      </c>
      <c r="DT82" s="13"/>
      <c r="DU82" s="13">
        <v>0</v>
      </c>
      <c r="DV82" s="13">
        <v>0</v>
      </c>
      <c r="DW82" s="13">
        <v>0</v>
      </c>
      <c r="DX82" s="13"/>
      <c r="DY82" s="13">
        <v>0</v>
      </c>
      <c r="DZ82" s="13">
        <v>0</v>
      </c>
      <c r="EA82" s="13">
        <v>0</v>
      </c>
      <c r="EB82" s="13">
        <v>0</v>
      </c>
      <c r="EC82" s="13">
        <v>0</v>
      </c>
      <c r="ED82" s="13">
        <v>0</v>
      </c>
      <c r="EE82" s="13">
        <v>0</v>
      </c>
      <c r="EF82" s="13">
        <v>0</v>
      </c>
      <c r="EG82" s="13">
        <v>0</v>
      </c>
      <c r="EH82" s="13">
        <v>0</v>
      </c>
      <c r="EI82" s="13">
        <v>0</v>
      </c>
      <c r="EJ82" s="13">
        <v>0</v>
      </c>
    </row>
    <row r="83" spans="1:140" ht="15.75" customHeight="1">
      <c r="A83" s="7" t="s">
        <v>241</v>
      </c>
      <c r="B83" s="13"/>
      <c r="C83" s="13"/>
      <c r="D83" s="13"/>
      <c r="E83" s="13"/>
      <c r="F83" s="13"/>
      <c r="G83" s="13"/>
      <c r="H83" s="13"/>
      <c r="I83" s="14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>
        <v>0</v>
      </c>
      <c r="AB83" s="13">
        <f t="shared" si="14"/>
        <v>0.24</v>
      </c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 t="s">
        <v>303</v>
      </c>
      <c r="AT83" s="13"/>
      <c r="AU83" s="13"/>
      <c r="AV83" s="13"/>
      <c r="AW83" s="13"/>
      <c r="AX83" s="13"/>
      <c r="AY83" s="13">
        <v>0</v>
      </c>
      <c r="AZ83" s="13">
        <v>0</v>
      </c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>
        <v>50</v>
      </c>
      <c r="BT83" s="13">
        <v>50</v>
      </c>
      <c r="BU83" s="13">
        <v>50</v>
      </c>
      <c r="BV83" s="13">
        <v>50</v>
      </c>
      <c r="BW83" s="13">
        <v>50</v>
      </c>
      <c r="BX83" s="13">
        <v>50</v>
      </c>
      <c r="BY83" s="13">
        <v>50</v>
      </c>
      <c r="BZ83" s="13">
        <v>50</v>
      </c>
      <c r="CA83" s="13">
        <v>50</v>
      </c>
      <c r="CB83" s="13">
        <v>50</v>
      </c>
      <c r="CC83" s="13">
        <v>50</v>
      </c>
      <c r="CD83" s="13">
        <v>50</v>
      </c>
      <c r="CE83" s="13">
        <v>50</v>
      </c>
      <c r="CF83" s="13">
        <v>50</v>
      </c>
      <c r="CG83" s="13">
        <v>50</v>
      </c>
      <c r="CH83" s="13">
        <v>50</v>
      </c>
      <c r="CI83" s="13">
        <v>50</v>
      </c>
      <c r="CJ83" s="13">
        <v>50</v>
      </c>
      <c r="CK83" s="13">
        <v>50</v>
      </c>
      <c r="CL83" s="13">
        <v>50</v>
      </c>
      <c r="CM83" s="13">
        <v>50</v>
      </c>
      <c r="CN83" s="13">
        <v>50</v>
      </c>
      <c r="CO83" s="13">
        <v>50</v>
      </c>
      <c r="CP83" s="13">
        <v>50</v>
      </c>
      <c r="CQ83" s="13">
        <v>50</v>
      </c>
      <c r="CR83" s="13">
        <v>50</v>
      </c>
      <c r="CS83" s="13">
        <v>50</v>
      </c>
      <c r="CT83" s="13">
        <v>50</v>
      </c>
      <c r="CU83" s="13">
        <v>50</v>
      </c>
      <c r="CV83" s="13">
        <v>50</v>
      </c>
      <c r="CW83" s="13">
        <v>50</v>
      </c>
      <c r="CX83" s="13">
        <v>50</v>
      </c>
      <c r="CY83" s="13">
        <v>50</v>
      </c>
      <c r="CZ83" s="13">
        <v>50</v>
      </c>
      <c r="DA83" s="13">
        <v>50</v>
      </c>
      <c r="DB83" s="13">
        <v>50</v>
      </c>
      <c r="DC83" s="13">
        <v>50</v>
      </c>
      <c r="DD83" s="13">
        <v>50</v>
      </c>
      <c r="DE83" s="13">
        <v>50</v>
      </c>
      <c r="DF83" s="13">
        <v>50</v>
      </c>
      <c r="DG83" s="13">
        <v>50</v>
      </c>
      <c r="DH83" s="13">
        <v>50</v>
      </c>
      <c r="DI83" s="13">
        <v>50</v>
      </c>
      <c r="DJ83" s="13">
        <v>50</v>
      </c>
      <c r="DK83" s="13">
        <v>50</v>
      </c>
      <c r="DL83" s="13">
        <v>50</v>
      </c>
      <c r="DM83" s="13">
        <v>50</v>
      </c>
      <c r="DN83" s="13">
        <v>50</v>
      </c>
      <c r="DO83" s="13">
        <v>50</v>
      </c>
      <c r="DP83" s="13">
        <v>50</v>
      </c>
      <c r="DQ83" s="13">
        <v>50</v>
      </c>
      <c r="DR83" s="13">
        <v>50</v>
      </c>
      <c r="DS83" s="13">
        <v>50</v>
      </c>
      <c r="DT83" s="13"/>
      <c r="DU83" s="13">
        <v>0</v>
      </c>
      <c r="DV83" s="13">
        <v>0</v>
      </c>
      <c r="DW83" s="13">
        <v>0</v>
      </c>
      <c r="DX83" s="13"/>
      <c r="DY83" s="13">
        <v>0</v>
      </c>
      <c r="DZ83" s="13">
        <v>0</v>
      </c>
      <c r="EA83" s="13">
        <v>0</v>
      </c>
      <c r="EB83" s="13">
        <v>0</v>
      </c>
      <c r="EC83" s="13">
        <v>0</v>
      </c>
      <c r="ED83" s="13">
        <v>0</v>
      </c>
      <c r="EE83" s="13">
        <v>0</v>
      </c>
      <c r="EF83" s="13">
        <v>0</v>
      </c>
      <c r="EG83" s="13">
        <v>0</v>
      </c>
      <c r="EH83" s="13">
        <v>0</v>
      </c>
      <c r="EI83" s="13">
        <v>0</v>
      </c>
      <c r="EJ83" s="13">
        <v>0</v>
      </c>
    </row>
    <row r="84" spans="1:140" ht="15.75" customHeight="1">
      <c r="A84" s="9" t="s">
        <v>242</v>
      </c>
      <c r="B84" s="13"/>
      <c r="C84" s="13">
        <v>0</v>
      </c>
      <c r="D84" s="13">
        <v>0</v>
      </c>
      <c r="E84" s="13">
        <v>0</v>
      </c>
      <c r="F84" s="13">
        <v>0</v>
      </c>
      <c r="G84" s="13">
        <v>0</v>
      </c>
      <c r="H84" s="13"/>
      <c r="I84" s="14" t="str">
        <f>IFERROR(VLOOKUP(A84,'Inst Lending numbers'!A:D,4,FALSE)," ")</f>
        <v xml:space="preserve"> </v>
      </c>
      <c r="J84" s="13"/>
      <c r="K84" s="13"/>
      <c r="L84" s="13">
        <v>3.4000000000000002E-2</v>
      </c>
      <c r="M84" s="13"/>
      <c r="N84" s="13"/>
      <c r="O84" s="13">
        <f t="shared" ref="O84:O95" ca="1" si="15">$O$4</f>
        <v>-0.12602095672146901</v>
      </c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>
        <v>0</v>
      </c>
      <c r="AB84" s="13">
        <f t="shared" si="14"/>
        <v>0.24</v>
      </c>
      <c r="AC84" s="13"/>
      <c r="AD84" s="13"/>
      <c r="AE84" s="13">
        <f>IFERROR(SUMIF('Weekly Rates'!D:D,A84,'Weekly Rates'!F:F)/COUNTIF('Weekly Rates'!D:D,A84),0)</f>
        <v>0</v>
      </c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 t="s">
        <v>303</v>
      </c>
      <c r="AT84" s="13"/>
      <c r="AU84" s="13">
        <f>SUMIF('Weekly Rates'!A:A,A84,'Weekly Rates'!B:B)</f>
        <v>0</v>
      </c>
      <c r="AV84" s="13">
        <v>0</v>
      </c>
      <c r="AW84" s="13">
        <v>0</v>
      </c>
      <c r="AX84" s="13">
        <v>0</v>
      </c>
      <c r="AY84" s="13">
        <v>0</v>
      </c>
      <c r="AZ84" s="13">
        <v>0</v>
      </c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>
        <v>50</v>
      </c>
      <c r="BT84" s="13">
        <v>50</v>
      </c>
      <c r="BU84" s="13">
        <v>50</v>
      </c>
      <c r="BV84" s="13">
        <v>50</v>
      </c>
      <c r="BW84" s="13">
        <v>50</v>
      </c>
      <c r="BX84" s="13">
        <v>50</v>
      </c>
      <c r="BY84" s="13">
        <v>50</v>
      </c>
      <c r="BZ84" s="13">
        <v>50</v>
      </c>
      <c r="CA84" s="13">
        <v>50</v>
      </c>
      <c r="CB84" s="13">
        <v>50</v>
      </c>
      <c r="CC84" s="13">
        <v>50</v>
      </c>
      <c r="CD84" s="13">
        <v>50</v>
      </c>
      <c r="CE84" s="13">
        <v>50</v>
      </c>
      <c r="CF84" s="13">
        <v>50</v>
      </c>
      <c r="CG84" s="13">
        <v>50</v>
      </c>
      <c r="CH84" s="13">
        <v>50</v>
      </c>
      <c r="CI84" s="13">
        <v>50</v>
      </c>
      <c r="CJ84" s="13">
        <v>50</v>
      </c>
      <c r="CK84" s="13">
        <v>50</v>
      </c>
      <c r="CL84" s="13">
        <v>50</v>
      </c>
      <c r="CM84" s="13">
        <v>50</v>
      </c>
      <c r="CN84" s="13">
        <v>50</v>
      </c>
      <c r="CO84" s="13">
        <v>50</v>
      </c>
      <c r="CP84" s="13">
        <v>50</v>
      </c>
      <c r="CQ84" s="13">
        <v>50</v>
      </c>
      <c r="CR84" s="13">
        <v>50</v>
      </c>
      <c r="CS84" s="13">
        <v>50</v>
      </c>
      <c r="CT84" s="13">
        <v>50</v>
      </c>
      <c r="CU84" s="13">
        <v>50</v>
      </c>
      <c r="CV84" s="13">
        <v>50</v>
      </c>
      <c r="CW84" s="13">
        <v>50</v>
      </c>
      <c r="CX84" s="13">
        <v>50</v>
      </c>
      <c r="CY84" s="13">
        <v>50</v>
      </c>
      <c r="CZ84" s="13">
        <v>50</v>
      </c>
      <c r="DA84" s="13">
        <v>50</v>
      </c>
      <c r="DB84" s="13">
        <v>50</v>
      </c>
      <c r="DC84" s="13">
        <v>50</v>
      </c>
      <c r="DD84" s="13">
        <v>50</v>
      </c>
      <c r="DE84" s="13">
        <v>50</v>
      </c>
      <c r="DF84" s="13">
        <v>50</v>
      </c>
      <c r="DG84" s="13">
        <v>50</v>
      </c>
      <c r="DH84" s="13">
        <v>50</v>
      </c>
      <c r="DI84" s="13">
        <v>50</v>
      </c>
      <c r="DJ84" s="13">
        <v>50</v>
      </c>
      <c r="DK84" s="13">
        <v>50</v>
      </c>
      <c r="DL84" s="13">
        <v>50</v>
      </c>
      <c r="DM84" s="13">
        <v>50</v>
      </c>
      <c r="DN84" s="13">
        <v>50</v>
      </c>
      <c r="DO84" s="13">
        <v>50</v>
      </c>
      <c r="DP84" s="13">
        <v>50</v>
      </c>
      <c r="DQ84" s="13">
        <v>50</v>
      </c>
      <c r="DR84" s="13">
        <v>50</v>
      </c>
      <c r="DS84" s="13">
        <v>50</v>
      </c>
      <c r="DT84" s="13"/>
      <c r="DU84" s="13">
        <v>0</v>
      </c>
      <c r="DV84" s="13">
        <v>0</v>
      </c>
      <c r="DW84" s="13">
        <v>0</v>
      </c>
      <c r="DX84" s="13"/>
      <c r="DY84" s="13">
        <v>0</v>
      </c>
      <c r="DZ84" s="13">
        <v>0</v>
      </c>
      <c r="EA84" s="13">
        <v>0</v>
      </c>
      <c r="EB84" s="13">
        <v>0</v>
      </c>
      <c r="EC84" s="13">
        <v>0</v>
      </c>
      <c r="ED84" s="13">
        <v>0</v>
      </c>
      <c r="EE84" s="13">
        <v>0</v>
      </c>
      <c r="EF84" s="13">
        <v>0</v>
      </c>
      <c r="EG84" s="13">
        <v>0</v>
      </c>
      <c r="EH84" s="13">
        <v>0</v>
      </c>
      <c r="EI84" s="13">
        <v>0</v>
      </c>
      <c r="EJ84" s="13">
        <v>0</v>
      </c>
    </row>
    <row r="85" spans="1:140" ht="15.75" customHeight="1">
      <c r="A85" s="9" t="s">
        <v>243</v>
      </c>
      <c r="B85" s="13"/>
      <c r="C85" s="13">
        <v>0</v>
      </c>
      <c r="D85" s="13">
        <v>0</v>
      </c>
      <c r="E85" s="13">
        <v>0</v>
      </c>
      <c r="F85" s="13">
        <v>0</v>
      </c>
      <c r="G85" s="13">
        <v>0</v>
      </c>
      <c r="H85" s="13"/>
      <c r="I85" s="14">
        <f>IFERROR(VLOOKUP(A85,'Inst Lending numbers'!A:D,4,FALSE)," ")</f>
        <v>9.3299999999999994E-2</v>
      </c>
      <c r="J85" s="13"/>
      <c r="K85" s="13"/>
      <c r="L85" s="13"/>
      <c r="M85" s="13"/>
      <c r="N85" s="13"/>
      <c r="O85" s="13">
        <f t="shared" ca="1" si="15"/>
        <v>-0.12602095672146901</v>
      </c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>
        <v>0</v>
      </c>
      <c r="AB85" s="13">
        <f t="shared" si="14"/>
        <v>0.24</v>
      </c>
      <c r="AC85" s="13"/>
      <c r="AD85" s="13"/>
      <c r="AE85" s="13">
        <f>IFERROR(SUMIF('Weekly Rates'!D:D,A85,'Weekly Rates'!F:F)/COUNTIF('Weekly Rates'!D:D,A85),0)</f>
        <v>0</v>
      </c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 t="s">
        <v>303</v>
      </c>
      <c r="AT85" s="13"/>
      <c r="AU85" s="13">
        <f>SUMIF('Weekly Rates'!A:A,A85,'Weekly Rates'!B:B)</f>
        <v>0</v>
      </c>
      <c r="AV85" s="13">
        <v>0</v>
      </c>
      <c r="AW85" s="13">
        <v>0</v>
      </c>
      <c r="AX85" s="13">
        <v>0</v>
      </c>
      <c r="AY85" s="13">
        <v>0</v>
      </c>
      <c r="AZ85" s="13">
        <v>0</v>
      </c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>
        <v>50</v>
      </c>
      <c r="BT85" s="13">
        <v>50</v>
      </c>
      <c r="BU85" s="13">
        <v>50</v>
      </c>
      <c r="BV85" s="13">
        <v>50</v>
      </c>
      <c r="BW85" s="13">
        <v>50</v>
      </c>
      <c r="BX85" s="13">
        <v>50</v>
      </c>
      <c r="BY85" s="13">
        <v>50</v>
      </c>
      <c r="BZ85" s="13">
        <v>50</v>
      </c>
      <c r="CA85" s="13">
        <v>50</v>
      </c>
      <c r="CB85" s="13">
        <v>50</v>
      </c>
      <c r="CC85" s="13">
        <v>50</v>
      </c>
      <c r="CD85" s="13">
        <v>50</v>
      </c>
      <c r="CE85" s="13">
        <v>50</v>
      </c>
      <c r="CF85" s="13">
        <v>50</v>
      </c>
      <c r="CG85" s="13">
        <v>50</v>
      </c>
      <c r="CH85" s="13">
        <v>50</v>
      </c>
      <c r="CI85" s="13">
        <v>50</v>
      </c>
      <c r="CJ85" s="13">
        <v>50</v>
      </c>
      <c r="CK85" s="13">
        <v>50</v>
      </c>
      <c r="CL85" s="13">
        <v>50</v>
      </c>
      <c r="CM85" s="13">
        <v>50</v>
      </c>
      <c r="CN85" s="13">
        <v>50</v>
      </c>
      <c r="CO85" s="13">
        <v>50</v>
      </c>
      <c r="CP85" s="13">
        <v>50</v>
      </c>
      <c r="CQ85" s="13">
        <v>50</v>
      </c>
      <c r="CR85" s="13">
        <v>50</v>
      </c>
      <c r="CS85" s="13">
        <v>50</v>
      </c>
      <c r="CT85" s="13">
        <v>50</v>
      </c>
      <c r="CU85" s="13">
        <v>50</v>
      </c>
      <c r="CV85" s="13">
        <v>50</v>
      </c>
      <c r="CW85" s="13">
        <v>50</v>
      </c>
      <c r="CX85" s="13">
        <v>50</v>
      </c>
      <c r="CY85" s="13">
        <v>50</v>
      </c>
      <c r="CZ85" s="13">
        <v>50</v>
      </c>
      <c r="DA85" s="13">
        <v>50</v>
      </c>
      <c r="DB85" s="13">
        <v>50</v>
      </c>
      <c r="DC85" s="13">
        <v>50</v>
      </c>
      <c r="DD85" s="13">
        <v>50</v>
      </c>
      <c r="DE85" s="13">
        <v>50</v>
      </c>
      <c r="DF85" s="13">
        <v>50</v>
      </c>
      <c r="DG85" s="13">
        <v>50</v>
      </c>
      <c r="DH85" s="13">
        <v>50</v>
      </c>
      <c r="DI85" s="13">
        <v>50</v>
      </c>
      <c r="DJ85" s="13">
        <v>50</v>
      </c>
      <c r="DK85" s="13">
        <v>50</v>
      </c>
      <c r="DL85" s="13">
        <v>50</v>
      </c>
      <c r="DM85" s="13">
        <v>50</v>
      </c>
      <c r="DN85" s="13">
        <v>50</v>
      </c>
      <c r="DO85" s="13">
        <v>50</v>
      </c>
      <c r="DP85" s="13">
        <v>50</v>
      </c>
      <c r="DQ85" s="13">
        <v>50</v>
      </c>
      <c r="DR85" s="13">
        <v>50</v>
      </c>
      <c r="DS85" s="13">
        <v>50</v>
      </c>
      <c r="DT85" s="13"/>
      <c r="DU85" s="13">
        <v>0</v>
      </c>
      <c r="DV85" s="13">
        <v>0</v>
      </c>
      <c r="DW85" s="13">
        <v>0</v>
      </c>
      <c r="DX85" s="13"/>
      <c r="DY85" s="13">
        <v>0</v>
      </c>
      <c r="DZ85" s="13">
        <v>0</v>
      </c>
      <c r="EA85" s="13">
        <v>0</v>
      </c>
      <c r="EB85" s="13">
        <v>0</v>
      </c>
      <c r="EC85" s="13">
        <v>0</v>
      </c>
      <c r="ED85" s="13">
        <v>0</v>
      </c>
      <c r="EE85" s="13">
        <v>0</v>
      </c>
      <c r="EF85" s="13">
        <v>0</v>
      </c>
      <c r="EG85" s="13">
        <v>0</v>
      </c>
      <c r="EH85" s="13">
        <v>0</v>
      </c>
      <c r="EI85" s="13">
        <v>0</v>
      </c>
      <c r="EJ85" s="13">
        <v>0</v>
      </c>
    </row>
    <row r="86" spans="1:140" ht="15.75" customHeight="1">
      <c r="A86" s="9" t="s">
        <v>244</v>
      </c>
      <c r="B86" s="13"/>
      <c r="C86" s="13">
        <v>0</v>
      </c>
      <c r="D86" s="13">
        <v>0</v>
      </c>
      <c r="E86" s="13">
        <v>0</v>
      </c>
      <c r="F86" s="13">
        <v>0</v>
      </c>
      <c r="G86" s="13">
        <v>0</v>
      </c>
      <c r="H86" s="13"/>
      <c r="I86" s="14">
        <f>IFERROR(VLOOKUP(A86,'Inst Lending numbers'!A:D,4,FALSE)," ")</f>
        <v>7.3899999999999993E-2</v>
      </c>
      <c r="J86" s="13">
        <v>0</v>
      </c>
      <c r="K86" s="13"/>
      <c r="L86" s="13"/>
      <c r="M86" s="13"/>
      <c r="N86" s="13"/>
      <c r="O86" s="13">
        <f t="shared" ca="1" si="15"/>
        <v>-0.12602095672146901</v>
      </c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>
        <v>0</v>
      </c>
      <c r="AB86" s="13">
        <f t="shared" si="14"/>
        <v>0.24</v>
      </c>
      <c r="AC86" s="13"/>
      <c r="AD86" s="13"/>
      <c r="AE86" s="13">
        <f>IFERROR(SUMIF('Weekly Rates'!D:D,A86,'Weekly Rates'!F:F)/COUNTIF('Weekly Rates'!D:D,A86),0)</f>
        <v>0</v>
      </c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 t="s">
        <v>303</v>
      </c>
      <c r="AT86" s="13"/>
      <c r="AU86" s="13">
        <f>SUMIF('Weekly Rates'!A:A,A86,'Weekly Rates'!B:B)</f>
        <v>4.0599999999999997E-2</v>
      </c>
      <c r="AV86" s="13">
        <v>0</v>
      </c>
      <c r="AW86" s="13">
        <v>0</v>
      </c>
      <c r="AX86" s="13">
        <v>0</v>
      </c>
      <c r="AY86" s="13">
        <v>0</v>
      </c>
      <c r="AZ86" s="13">
        <v>0</v>
      </c>
      <c r="BA86" s="13"/>
      <c r="BB86" s="13"/>
      <c r="BC86" s="13">
        <v>4.0000000000000002E-4</v>
      </c>
      <c r="BD86" s="13">
        <v>6.6E-3</v>
      </c>
      <c r="BE86" s="13">
        <v>0</v>
      </c>
      <c r="BF86" s="13">
        <v>0</v>
      </c>
      <c r="BG86" s="13">
        <v>0</v>
      </c>
      <c r="BH86" s="13">
        <v>0</v>
      </c>
      <c r="BI86" s="13">
        <v>6.6E-3</v>
      </c>
      <c r="BJ86" s="13">
        <v>0</v>
      </c>
      <c r="BK86" s="13">
        <v>0</v>
      </c>
      <c r="BL86" s="13">
        <v>0</v>
      </c>
      <c r="BM86" s="13">
        <v>0</v>
      </c>
      <c r="BN86" s="13">
        <v>0</v>
      </c>
      <c r="BO86" s="13">
        <v>0</v>
      </c>
      <c r="BP86" s="13">
        <v>0</v>
      </c>
      <c r="BQ86" s="13">
        <v>0</v>
      </c>
      <c r="BR86" s="13">
        <v>0</v>
      </c>
      <c r="BS86" s="13">
        <v>50</v>
      </c>
      <c r="BT86" s="13">
        <v>50</v>
      </c>
      <c r="BU86" s="13">
        <v>50</v>
      </c>
      <c r="BV86" s="13">
        <v>50</v>
      </c>
      <c r="BW86" s="13">
        <v>50</v>
      </c>
      <c r="BX86" s="13">
        <v>50</v>
      </c>
      <c r="BY86" s="13">
        <v>50</v>
      </c>
      <c r="BZ86" s="13">
        <v>50</v>
      </c>
      <c r="CA86" s="13">
        <v>50</v>
      </c>
      <c r="CB86" s="13">
        <v>50</v>
      </c>
      <c r="CC86" s="13">
        <v>50</v>
      </c>
      <c r="CD86" s="13">
        <v>50</v>
      </c>
      <c r="CE86" s="13">
        <v>50</v>
      </c>
      <c r="CF86" s="13">
        <v>50</v>
      </c>
      <c r="CG86" s="13">
        <v>50</v>
      </c>
      <c r="CH86" s="13">
        <v>50</v>
      </c>
      <c r="CI86" s="13">
        <v>50</v>
      </c>
      <c r="CJ86" s="13">
        <v>50</v>
      </c>
      <c r="CK86" s="13">
        <v>50</v>
      </c>
      <c r="CL86" s="13">
        <v>50</v>
      </c>
      <c r="CM86" s="13">
        <v>50</v>
      </c>
      <c r="CN86" s="13">
        <v>50</v>
      </c>
      <c r="CO86" s="13">
        <v>50</v>
      </c>
      <c r="CP86" s="13">
        <v>50</v>
      </c>
      <c r="CQ86" s="13">
        <v>50</v>
      </c>
      <c r="CR86" s="13">
        <v>50</v>
      </c>
      <c r="CS86" s="13">
        <v>50</v>
      </c>
      <c r="CT86" s="13">
        <v>50</v>
      </c>
      <c r="CU86" s="13">
        <v>50</v>
      </c>
      <c r="CV86" s="13">
        <v>50</v>
      </c>
      <c r="CW86" s="13">
        <v>50</v>
      </c>
      <c r="CX86" s="13">
        <v>50</v>
      </c>
      <c r="CY86" s="13">
        <v>50</v>
      </c>
      <c r="CZ86" s="13">
        <v>50</v>
      </c>
      <c r="DA86" s="13">
        <v>50</v>
      </c>
      <c r="DB86" s="13">
        <v>50</v>
      </c>
      <c r="DC86" s="13">
        <v>50</v>
      </c>
      <c r="DD86" s="13">
        <v>50</v>
      </c>
      <c r="DE86" s="13">
        <v>50</v>
      </c>
      <c r="DF86" s="13">
        <v>50</v>
      </c>
      <c r="DG86" s="13">
        <v>50</v>
      </c>
      <c r="DH86" s="13">
        <v>50</v>
      </c>
      <c r="DI86" s="13">
        <v>50</v>
      </c>
      <c r="DJ86" s="13">
        <v>50</v>
      </c>
      <c r="DK86" s="13">
        <v>50</v>
      </c>
      <c r="DL86" s="13">
        <v>50</v>
      </c>
      <c r="DM86" s="13">
        <v>50</v>
      </c>
      <c r="DN86" s="13">
        <v>50</v>
      </c>
      <c r="DO86" s="13">
        <v>50</v>
      </c>
      <c r="DP86" s="13">
        <v>50</v>
      </c>
      <c r="DQ86" s="13">
        <v>50</v>
      </c>
      <c r="DR86" s="13">
        <v>50</v>
      </c>
      <c r="DS86" s="13">
        <v>50</v>
      </c>
      <c r="DT86" s="13"/>
      <c r="DU86" s="13">
        <v>0</v>
      </c>
      <c r="DV86" s="13">
        <v>0</v>
      </c>
      <c r="DW86" s="13">
        <v>0</v>
      </c>
      <c r="DX86" s="13"/>
      <c r="DY86" s="13">
        <v>0</v>
      </c>
      <c r="DZ86" s="13">
        <v>0</v>
      </c>
      <c r="EA86" s="13">
        <v>0</v>
      </c>
      <c r="EB86" s="13">
        <v>0</v>
      </c>
      <c r="EC86" s="13">
        <v>0</v>
      </c>
      <c r="ED86" s="13">
        <v>0</v>
      </c>
      <c r="EE86" s="13">
        <v>0</v>
      </c>
      <c r="EF86" s="13">
        <v>0</v>
      </c>
      <c r="EG86" s="13">
        <v>0</v>
      </c>
      <c r="EH86" s="13">
        <v>0</v>
      </c>
      <c r="EI86" s="13">
        <v>0</v>
      </c>
      <c r="EJ86" s="13">
        <v>0</v>
      </c>
    </row>
    <row r="87" spans="1:140" ht="15.75" customHeight="1">
      <c r="A87" s="9" t="s">
        <v>245</v>
      </c>
      <c r="B87" s="13"/>
      <c r="C87" s="13">
        <v>0</v>
      </c>
      <c r="D87" s="13">
        <v>0</v>
      </c>
      <c r="E87" s="13">
        <v>0</v>
      </c>
      <c r="F87" s="13">
        <v>0</v>
      </c>
      <c r="G87" s="13">
        <v>0</v>
      </c>
      <c r="H87" s="13"/>
      <c r="I87" s="14">
        <f>IFERROR(VLOOKUP(A87,'Inst Lending numbers'!A:D,4,FALSE)," ")</f>
        <v>9.5699999999999993E-2</v>
      </c>
      <c r="J87" s="13"/>
      <c r="K87" s="13"/>
      <c r="L87" s="13">
        <v>3.4000000000000002E-2</v>
      </c>
      <c r="M87" s="13"/>
      <c r="N87" s="13"/>
      <c r="O87" s="13">
        <f t="shared" ca="1" si="15"/>
        <v>-0.12602095672146901</v>
      </c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>
        <v>0</v>
      </c>
      <c r="AB87" s="13">
        <f t="shared" si="14"/>
        <v>0.24</v>
      </c>
      <c r="AC87" s="13"/>
      <c r="AD87" s="13"/>
      <c r="AE87" s="13">
        <f>IFERROR(SUMIF('Weekly Rates'!D:D,A87,'Weekly Rates'!F:F)/COUNTIF('Weekly Rates'!D:D,A87),0)</f>
        <v>0</v>
      </c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>
        <v>0.3</v>
      </c>
      <c r="AS87" s="13" t="s">
        <v>303</v>
      </c>
      <c r="AT87" s="13"/>
      <c r="AU87" s="13">
        <f>SUMIF('Weekly Rates'!A:A,A87,'Weekly Rates'!B:B)</f>
        <v>6.59E-2</v>
      </c>
      <c r="AV87" s="13">
        <v>0</v>
      </c>
      <c r="AW87" s="13">
        <v>0</v>
      </c>
      <c r="AX87" s="13">
        <v>0</v>
      </c>
      <c r="AY87" s="13">
        <v>0</v>
      </c>
      <c r="AZ87" s="13">
        <v>0</v>
      </c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>
        <v>0</v>
      </c>
      <c r="DV87" s="13">
        <v>0</v>
      </c>
      <c r="DW87" s="13">
        <v>0</v>
      </c>
      <c r="DX87" s="13"/>
      <c r="DY87" s="13">
        <v>0</v>
      </c>
      <c r="DZ87" s="13">
        <v>0</v>
      </c>
      <c r="EA87" s="13">
        <v>0</v>
      </c>
      <c r="EB87" s="13">
        <v>0</v>
      </c>
      <c r="EC87" s="13">
        <v>0</v>
      </c>
      <c r="ED87" s="13">
        <v>0</v>
      </c>
      <c r="EE87" s="13">
        <v>0</v>
      </c>
      <c r="EF87" s="13">
        <v>0</v>
      </c>
      <c r="EG87" s="13">
        <v>0</v>
      </c>
      <c r="EH87" s="13">
        <v>0</v>
      </c>
      <c r="EI87" s="13">
        <v>0</v>
      </c>
      <c r="EJ87" s="13">
        <v>0</v>
      </c>
    </row>
    <row r="88" spans="1:140" ht="15.75" customHeight="1">
      <c r="A88" s="9" t="s">
        <v>246</v>
      </c>
      <c r="B88" s="13"/>
      <c r="C88" s="13">
        <v>0</v>
      </c>
      <c r="D88" s="13">
        <v>0</v>
      </c>
      <c r="E88" s="13">
        <v>0</v>
      </c>
      <c r="F88" s="13">
        <v>0</v>
      </c>
      <c r="G88" s="13">
        <v>0</v>
      </c>
      <c r="H88" s="13"/>
      <c r="I88" s="14">
        <f>IFERROR(VLOOKUP(A88,'Inst Lending numbers'!A:D,4,FALSE)," ")</f>
        <v>0.1116</v>
      </c>
      <c r="J88" s="13"/>
      <c r="K88" s="13"/>
      <c r="L88" s="13">
        <v>3.4000000000000002E-2</v>
      </c>
      <c r="M88" s="13"/>
      <c r="N88" s="13"/>
      <c r="O88" s="13">
        <f t="shared" ca="1" si="15"/>
        <v>-0.12602095672146901</v>
      </c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>
        <v>0</v>
      </c>
      <c r="AB88" s="13">
        <f t="shared" si="14"/>
        <v>0.24</v>
      </c>
      <c r="AC88" s="13"/>
      <c r="AD88" s="13"/>
      <c r="AE88" s="13">
        <f>IFERROR(SUMIF('Weekly Rates'!D:D,A88,'Weekly Rates'!F:F)/COUNTIF('Weekly Rates'!D:D,A88),0)</f>
        <v>0</v>
      </c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>
        <v>0.1381596715</v>
      </c>
      <c r="AT88" s="13"/>
      <c r="AU88" s="13">
        <f>SUMIF('Weekly Rates'!A:A,A88,'Weekly Rates'!B:B)</f>
        <v>0</v>
      </c>
      <c r="AV88" s="13">
        <v>0</v>
      </c>
      <c r="AW88" s="13">
        <v>0</v>
      </c>
      <c r="AX88" s="13">
        <v>0</v>
      </c>
      <c r="AY88" s="13">
        <v>0</v>
      </c>
      <c r="AZ88" s="13">
        <v>0</v>
      </c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>
        <v>0</v>
      </c>
      <c r="DV88" s="13">
        <v>0</v>
      </c>
      <c r="DW88" s="13">
        <v>0</v>
      </c>
      <c r="DX88" s="13"/>
      <c r="DY88" s="13">
        <v>0</v>
      </c>
      <c r="DZ88" s="13">
        <v>0</v>
      </c>
      <c r="EA88" s="13">
        <v>0</v>
      </c>
      <c r="EB88" s="13">
        <v>0</v>
      </c>
      <c r="EC88" s="13">
        <v>0</v>
      </c>
      <c r="ED88" s="13">
        <v>0</v>
      </c>
      <c r="EE88" s="13">
        <v>0</v>
      </c>
      <c r="EF88" s="13">
        <v>0</v>
      </c>
      <c r="EG88" s="13">
        <v>0</v>
      </c>
      <c r="EH88" s="13">
        <v>0</v>
      </c>
      <c r="EI88" s="13">
        <v>0</v>
      </c>
      <c r="EJ88" s="13">
        <v>0</v>
      </c>
    </row>
    <row r="89" spans="1:140" ht="15.75" customHeight="1">
      <c r="A89" s="9" t="s">
        <v>247</v>
      </c>
      <c r="B89" s="13"/>
      <c r="C89" s="13">
        <v>0</v>
      </c>
      <c r="D89" s="13">
        <v>0</v>
      </c>
      <c r="E89" s="13">
        <v>0</v>
      </c>
      <c r="F89" s="13">
        <v>0</v>
      </c>
      <c r="G89" s="13">
        <v>0</v>
      </c>
      <c r="H89" s="13"/>
      <c r="I89" s="14">
        <f>IFERROR(VLOOKUP(A89,'Inst Lending numbers'!A:D,4,FALSE)," ")</f>
        <v>9.3799999999999994E-2</v>
      </c>
      <c r="J89" s="13"/>
      <c r="K89" s="13"/>
      <c r="L89" s="13">
        <v>3.4000000000000002E-2</v>
      </c>
      <c r="M89" s="13"/>
      <c r="N89" s="13"/>
      <c r="O89" s="13">
        <f t="shared" ca="1" si="15"/>
        <v>-0.12602095672146901</v>
      </c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>
        <v>0</v>
      </c>
      <c r="AB89" s="13">
        <f t="shared" si="14"/>
        <v>0.24</v>
      </c>
      <c r="AC89" s="13"/>
      <c r="AD89" s="13"/>
      <c r="AE89" s="13">
        <f>IFERROR(SUMIF('Weekly Rates'!D:D,A89,'Weekly Rates'!F:F)/COUNTIF('Weekly Rates'!D:D,A89),0)</f>
        <v>0</v>
      </c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 t="s">
        <v>303</v>
      </c>
      <c r="AT89" s="13"/>
      <c r="AU89" s="13">
        <f>SUMIF('Weekly Rates'!A:A,A89,'Weekly Rates'!B:B)</f>
        <v>0.2455</v>
      </c>
      <c r="AV89" s="13">
        <v>0</v>
      </c>
      <c r="AW89" s="13">
        <v>0</v>
      </c>
      <c r="AX89" s="13">
        <v>0</v>
      </c>
      <c r="AY89" s="13">
        <v>0</v>
      </c>
      <c r="AZ89" s="13">
        <v>0</v>
      </c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>
        <v>0</v>
      </c>
      <c r="DV89" s="13">
        <v>0</v>
      </c>
      <c r="DW89" s="13">
        <v>0</v>
      </c>
      <c r="DX89" s="13"/>
      <c r="DY89" s="13">
        <v>0</v>
      </c>
      <c r="DZ89" s="13">
        <v>0</v>
      </c>
      <c r="EA89" s="13">
        <v>0</v>
      </c>
      <c r="EB89" s="13">
        <v>0</v>
      </c>
      <c r="EC89" s="13">
        <v>0</v>
      </c>
      <c r="ED89" s="13">
        <v>0</v>
      </c>
      <c r="EE89" s="13">
        <v>0</v>
      </c>
      <c r="EF89" s="13">
        <v>0</v>
      </c>
      <c r="EG89" s="13">
        <v>0</v>
      </c>
      <c r="EH89" s="13">
        <v>0</v>
      </c>
      <c r="EI89" s="13">
        <v>0</v>
      </c>
      <c r="EJ89" s="13">
        <v>0</v>
      </c>
    </row>
    <row r="90" spans="1:140" ht="15.75" customHeight="1">
      <c r="A90" s="9" t="s">
        <v>248</v>
      </c>
      <c r="B90" s="13"/>
      <c r="C90" s="13">
        <v>0</v>
      </c>
      <c r="D90" s="13">
        <v>0</v>
      </c>
      <c r="E90" s="13">
        <v>0</v>
      </c>
      <c r="F90" s="13">
        <v>0</v>
      </c>
      <c r="G90" s="13">
        <v>0</v>
      </c>
      <c r="H90" s="13"/>
      <c r="I90" s="14" t="str">
        <f>IFERROR(VLOOKUP(A90,'Inst Lending numbers'!A:D,4,FALSE)," ")</f>
        <v xml:space="preserve"> </v>
      </c>
      <c r="J90" s="13"/>
      <c r="K90" s="13"/>
      <c r="L90" s="13"/>
      <c r="M90" s="13"/>
      <c r="N90" s="13"/>
      <c r="O90" s="13">
        <f t="shared" ca="1" si="15"/>
        <v>-0.12602095672146901</v>
      </c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>
        <v>0</v>
      </c>
      <c r="AB90" s="13">
        <f t="shared" si="14"/>
        <v>0.24</v>
      </c>
      <c r="AC90" s="13"/>
      <c r="AD90" s="13"/>
      <c r="AE90" s="13">
        <f>IFERROR(SUMIF('Weekly Rates'!D:D,A90,'Weekly Rates'!F:F)/COUNTIF('Weekly Rates'!D:D,A90),0)</f>
        <v>0</v>
      </c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 t="s">
        <v>303</v>
      </c>
      <c r="AT90" s="13"/>
      <c r="AU90" s="13">
        <f>SUMIF('Weekly Rates'!A:A,A90,'Weekly Rates'!B:B)</f>
        <v>0</v>
      </c>
      <c r="AV90" s="13">
        <v>0</v>
      </c>
      <c r="AW90" s="13">
        <v>0</v>
      </c>
      <c r="AX90" s="13">
        <v>0</v>
      </c>
      <c r="AY90" s="13">
        <v>0</v>
      </c>
      <c r="AZ90" s="13">
        <v>0</v>
      </c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>
        <v>0</v>
      </c>
      <c r="DV90" s="13">
        <v>0</v>
      </c>
      <c r="DW90" s="13">
        <v>0</v>
      </c>
      <c r="DX90" s="13"/>
      <c r="DY90" s="13">
        <v>0</v>
      </c>
      <c r="DZ90" s="13">
        <v>0</v>
      </c>
      <c r="EA90" s="13">
        <v>0</v>
      </c>
      <c r="EB90" s="13">
        <v>0</v>
      </c>
      <c r="EC90" s="13">
        <v>0</v>
      </c>
      <c r="ED90" s="13">
        <v>0</v>
      </c>
      <c r="EE90" s="13">
        <v>0</v>
      </c>
      <c r="EF90" s="13">
        <v>0</v>
      </c>
      <c r="EG90" s="13">
        <v>0</v>
      </c>
      <c r="EH90" s="13">
        <v>0</v>
      </c>
      <c r="EI90" s="13">
        <v>0</v>
      </c>
      <c r="EJ90" s="13">
        <v>0</v>
      </c>
    </row>
    <row r="91" spans="1:140" ht="15.75" customHeight="1">
      <c r="A91" s="9" t="s">
        <v>249</v>
      </c>
      <c r="B91" s="13"/>
      <c r="C91" s="13">
        <v>0</v>
      </c>
      <c r="D91" s="13">
        <v>0</v>
      </c>
      <c r="E91" s="13">
        <v>0</v>
      </c>
      <c r="F91" s="13">
        <v>0</v>
      </c>
      <c r="G91" s="13">
        <v>0</v>
      </c>
      <c r="H91" s="13"/>
      <c r="I91" s="14" t="str">
        <f>IFERROR(VLOOKUP(A91,'Inst Lending numbers'!A:D,4,FALSE)," ")</f>
        <v xml:space="preserve"> </v>
      </c>
      <c r="J91" s="13"/>
      <c r="K91" s="13"/>
      <c r="L91" s="13"/>
      <c r="M91" s="13"/>
      <c r="N91" s="13"/>
      <c r="O91" s="13">
        <f t="shared" ca="1" si="15"/>
        <v>-0.12602095672146901</v>
      </c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>
        <v>0</v>
      </c>
      <c r="AB91" s="13">
        <f t="shared" si="14"/>
        <v>0.24</v>
      </c>
      <c r="AC91" s="13"/>
      <c r="AD91" s="13"/>
      <c r="AE91" s="13">
        <f>IFERROR(SUMIF('Weekly Rates'!D:D,A91,'Weekly Rates'!F:F)/COUNTIF('Weekly Rates'!D:D,A91),0)</f>
        <v>0</v>
      </c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 t="s">
        <v>303</v>
      </c>
      <c r="AT91" s="13"/>
      <c r="AU91" s="13">
        <f>SUMIF('Weekly Rates'!A:A,A91,'Weekly Rates'!B:B)</f>
        <v>0</v>
      </c>
      <c r="AV91" s="13">
        <v>0</v>
      </c>
      <c r="AW91" s="13">
        <v>0</v>
      </c>
      <c r="AX91" s="13">
        <v>0</v>
      </c>
      <c r="AY91" s="13">
        <v>0</v>
      </c>
      <c r="AZ91" s="13">
        <v>0</v>
      </c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>
        <v>0</v>
      </c>
      <c r="DV91" s="13">
        <v>0</v>
      </c>
      <c r="DW91" s="13">
        <v>0</v>
      </c>
      <c r="DX91" s="13"/>
      <c r="DY91" s="13">
        <v>0</v>
      </c>
      <c r="DZ91" s="13">
        <v>0</v>
      </c>
      <c r="EA91" s="13">
        <v>0</v>
      </c>
      <c r="EB91" s="13">
        <v>0</v>
      </c>
      <c r="EC91" s="13">
        <v>0</v>
      </c>
      <c r="ED91" s="13">
        <v>0</v>
      </c>
      <c r="EE91" s="13">
        <v>0</v>
      </c>
      <c r="EF91" s="13">
        <v>0</v>
      </c>
      <c r="EG91" s="13">
        <v>0</v>
      </c>
      <c r="EH91" s="13">
        <v>0</v>
      </c>
      <c r="EI91" s="13">
        <v>0</v>
      </c>
      <c r="EJ91" s="13">
        <v>0</v>
      </c>
    </row>
    <row r="92" spans="1:140" ht="15.75" customHeight="1">
      <c r="A92" s="9" t="s">
        <v>250</v>
      </c>
      <c r="B92" s="13"/>
      <c r="C92" s="13">
        <v>0</v>
      </c>
      <c r="D92" s="13">
        <v>0</v>
      </c>
      <c r="E92" s="13">
        <v>0</v>
      </c>
      <c r="F92" s="13">
        <v>0</v>
      </c>
      <c r="G92" s="13">
        <v>0</v>
      </c>
      <c r="H92" s="13"/>
      <c r="I92" s="14" t="str">
        <f>IFERROR(VLOOKUP(A92,'Inst Lending numbers'!A:D,4,FALSE)," ")</f>
        <v xml:space="preserve"> </v>
      </c>
      <c r="J92" s="13"/>
      <c r="K92" s="13"/>
      <c r="L92" s="13"/>
      <c r="M92" s="13"/>
      <c r="N92" s="13"/>
      <c r="O92" s="13">
        <f t="shared" ca="1" si="15"/>
        <v>-0.12602095672146901</v>
      </c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>
        <v>0</v>
      </c>
      <c r="AB92" s="13">
        <f t="shared" si="14"/>
        <v>0.24</v>
      </c>
      <c r="AC92" s="13"/>
      <c r="AD92" s="13"/>
      <c r="AE92" s="13">
        <f>IFERROR(SUMIF('Weekly Rates'!D:D,A92,'Weekly Rates'!F:F)/COUNTIF('Weekly Rates'!D:D,A92),0)</f>
        <v>8.7599999999999987E-3</v>
      </c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 t="s">
        <v>303</v>
      </c>
      <c r="AT92" s="13"/>
      <c r="AU92" s="13">
        <f>SUMIF('Weekly Rates'!A:A,A92,'Weekly Rates'!B:B)</f>
        <v>0</v>
      </c>
      <c r="AV92" s="13">
        <v>0</v>
      </c>
      <c r="AW92" s="13">
        <v>0</v>
      </c>
      <c r="AX92" s="13">
        <v>0</v>
      </c>
      <c r="AY92" s="13">
        <v>0</v>
      </c>
      <c r="AZ92" s="13">
        <v>0</v>
      </c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>
        <v>0</v>
      </c>
      <c r="DV92" s="13">
        <v>0</v>
      </c>
      <c r="DW92" s="13">
        <v>0</v>
      </c>
      <c r="DX92" s="13"/>
      <c r="DY92" s="13">
        <v>0</v>
      </c>
      <c r="DZ92" s="13">
        <v>0</v>
      </c>
      <c r="EA92" s="13">
        <v>0</v>
      </c>
      <c r="EB92" s="13">
        <v>0</v>
      </c>
      <c r="EC92" s="13">
        <v>0</v>
      </c>
      <c r="ED92" s="13">
        <v>0</v>
      </c>
      <c r="EE92" s="13">
        <v>0</v>
      </c>
      <c r="EF92" s="13">
        <v>0</v>
      </c>
      <c r="EG92" s="13">
        <v>0</v>
      </c>
      <c r="EH92" s="13">
        <v>0</v>
      </c>
      <c r="EI92" s="13">
        <v>0</v>
      </c>
      <c r="EJ92" s="13">
        <v>0</v>
      </c>
    </row>
    <row r="93" spans="1:140" ht="15.75" customHeight="1">
      <c r="A93" s="9" t="s">
        <v>251</v>
      </c>
      <c r="B93" s="13"/>
      <c r="C93" s="13">
        <v>0</v>
      </c>
      <c r="D93" s="13">
        <v>0</v>
      </c>
      <c r="E93" s="13">
        <v>0</v>
      </c>
      <c r="F93" s="13">
        <v>0</v>
      </c>
      <c r="G93" s="13">
        <v>0</v>
      </c>
      <c r="H93" s="13"/>
      <c r="I93" s="14">
        <f>IFERROR(VLOOKUP(A93,'Inst Lending numbers'!A:D,4,FALSE)," ")</f>
        <v>5.3400000000000003E-2</v>
      </c>
      <c r="J93" s="13"/>
      <c r="K93" s="13"/>
      <c r="L93" s="13"/>
      <c r="M93" s="13"/>
      <c r="N93" s="13"/>
      <c r="O93" s="13">
        <f t="shared" ca="1" si="15"/>
        <v>-0.12602095672146901</v>
      </c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>
        <v>0</v>
      </c>
      <c r="AB93" s="13">
        <f t="shared" si="14"/>
        <v>0.24</v>
      </c>
      <c r="AC93" s="13"/>
      <c r="AD93" s="13"/>
      <c r="AE93" s="13">
        <f>IFERROR(SUMIF('Weekly Rates'!D:D,A93,'Weekly Rates'!F:F)/COUNTIF('Weekly Rates'!D:D,A93),0)</f>
        <v>0</v>
      </c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 t="s">
        <v>303</v>
      </c>
      <c r="AT93" s="13"/>
      <c r="AU93" s="13">
        <f>SUMIF('Weekly Rates'!A:A,A93,'Weekly Rates'!B:B)</f>
        <v>5.0799999999999998E-2</v>
      </c>
      <c r="AV93" s="13">
        <v>0</v>
      </c>
      <c r="AW93" s="13">
        <v>0</v>
      </c>
      <c r="AX93" s="13">
        <v>0</v>
      </c>
      <c r="AY93" s="13">
        <v>0</v>
      </c>
      <c r="AZ93" s="13">
        <v>0</v>
      </c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>
        <v>0</v>
      </c>
      <c r="DV93" s="13">
        <v>0</v>
      </c>
      <c r="DW93" s="13">
        <v>0</v>
      </c>
      <c r="DX93" s="13"/>
      <c r="DY93" s="13">
        <v>0</v>
      </c>
      <c r="DZ93" s="13">
        <v>0</v>
      </c>
      <c r="EA93" s="13">
        <v>0</v>
      </c>
      <c r="EB93" s="13">
        <v>0</v>
      </c>
      <c r="EC93" s="13">
        <v>0</v>
      </c>
      <c r="ED93" s="13">
        <v>0</v>
      </c>
      <c r="EE93" s="13">
        <v>0</v>
      </c>
      <c r="EF93" s="13">
        <v>0</v>
      </c>
      <c r="EG93" s="13">
        <v>0</v>
      </c>
      <c r="EH93" s="13">
        <v>0</v>
      </c>
      <c r="EI93" s="13">
        <v>0</v>
      </c>
      <c r="EJ93" s="13">
        <v>0</v>
      </c>
    </row>
    <row r="94" spans="1:140" ht="15.75" customHeight="1">
      <c r="A94" s="9" t="s">
        <v>252</v>
      </c>
      <c r="B94" s="13"/>
      <c r="C94" s="13">
        <v>0</v>
      </c>
      <c r="D94" s="13">
        <v>0</v>
      </c>
      <c r="E94" s="13">
        <v>0</v>
      </c>
      <c r="F94" s="13">
        <v>0</v>
      </c>
      <c r="G94" s="13">
        <v>0</v>
      </c>
      <c r="H94" s="13"/>
      <c r="I94" s="14">
        <f>IFERROR(VLOOKUP(A94,'Inst Lending numbers'!A:D,4,FALSE)," ")</f>
        <v>4.6199999999999998E-2</v>
      </c>
      <c r="J94" s="13">
        <v>0</v>
      </c>
      <c r="K94" s="13"/>
      <c r="L94" s="13"/>
      <c r="M94" s="13"/>
      <c r="N94" s="13"/>
      <c r="O94" s="13">
        <f t="shared" ca="1" si="15"/>
        <v>-0.12602095672146901</v>
      </c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>
        <v>0</v>
      </c>
      <c r="AB94" s="13">
        <f t="shared" si="14"/>
        <v>0.24</v>
      </c>
      <c r="AC94" s="13"/>
      <c r="AD94" s="13"/>
      <c r="AE94" s="13">
        <f>IFERROR(SUMIF('Weekly Rates'!D:D,A94,'Weekly Rates'!F:F)/COUNTIF('Weekly Rates'!D:D,A94),0)</f>
        <v>0</v>
      </c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 t="s">
        <v>303</v>
      </c>
      <c r="AT94" s="13"/>
      <c r="AU94" s="13">
        <f>SUMIF('Weekly Rates'!A:A,A94,'Weekly Rates'!B:B)</f>
        <v>6.6E-3</v>
      </c>
      <c r="AV94" s="13">
        <v>0</v>
      </c>
      <c r="AW94" s="13">
        <v>0</v>
      </c>
      <c r="AX94" s="13">
        <v>0</v>
      </c>
      <c r="AY94" s="13">
        <v>0</v>
      </c>
      <c r="AZ94" s="13">
        <v>0</v>
      </c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>
        <v>0</v>
      </c>
      <c r="DV94" s="13">
        <v>0</v>
      </c>
      <c r="DW94" s="13">
        <v>0</v>
      </c>
      <c r="DX94" s="13"/>
      <c r="DY94" s="13">
        <v>0</v>
      </c>
      <c r="DZ94" s="13">
        <v>0</v>
      </c>
      <c r="EA94" s="13">
        <v>0</v>
      </c>
      <c r="EB94" s="13">
        <v>0</v>
      </c>
      <c r="EC94" s="13">
        <v>0</v>
      </c>
      <c r="ED94" s="13">
        <v>0</v>
      </c>
      <c r="EE94" s="13">
        <v>0</v>
      </c>
      <c r="EF94" s="13">
        <v>0</v>
      </c>
      <c r="EG94" s="13">
        <v>0</v>
      </c>
      <c r="EH94" s="13">
        <v>0</v>
      </c>
      <c r="EI94" s="13">
        <v>0</v>
      </c>
      <c r="EJ94" s="13">
        <v>0</v>
      </c>
    </row>
    <row r="95" spans="1:140" ht="15.75" customHeight="1">
      <c r="A95" s="9" t="s">
        <v>253</v>
      </c>
      <c r="B95" s="13"/>
      <c r="C95" s="13">
        <v>0</v>
      </c>
      <c r="D95" s="13">
        <v>0</v>
      </c>
      <c r="E95" s="13">
        <v>0</v>
      </c>
      <c r="F95" s="13">
        <v>0</v>
      </c>
      <c r="G95" s="13">
        <v>0</v>
      </c>
      <c r="H95" s="13"/>
      <c r="I95" s="14">
        <f>IFERROR(VLOOKUP(A95,'Inst Lending numbers'!A:D,4,FALSE)," ")</f>
        <v>8.3099999999999993E-2</v>
      </c>
      <c r="J95" s="13"/>
      <c r="K95" s="13"/>
      <c r="L95" s="13"/>
      <c r="M95" s="13"/>
      <c r="N95" s="13"/>
      <c r="O95" s="13">
        <f t="shared" ca="1" si="15"/>
        <v>-0.12602095672146901</v>
      </c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>
        <v>0</v>
      </c>
      <c r="AB95" s="13">
        <f t="shared" si="14"/>
        <v>0.24</v>
      </c>
      <c r="AC95" s="13"/>
      <c r="AD95" s="13"/>
      <c r="AE95" s="13">
        <f>IFERROR(SUMIF('Weekly Rates'!D:D,A95,'Weekly Rates'!F:F)/COUNTIF('Weekly Rates'!D:D,A95),0)</f>
        <v>0.12001199999999999</v>
      </c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 t="s">
        <v>303</v>
      </c>
      <c r="AT95" s="13"/>
      <c r="AU95" s="13">
        <f>SUMIF('Weekly Rates'!A:A,A95,'Weekly Rates'!B:B)</f>
        <v>0.22600000000000001</v>
      </c>
      <c r="AV95" s="13">
        <v>0</v>
      </c>
      <c r="AW95" s="13">
        <v>0</v>
      </c>
      <c r="AX95" s="13">
        <v>0</v>
      </c>
      <c r="AY95" s="13">
        <v>0</v>
      </c>
      <c r="AZ95" s="13">
        <v>0</v>
      </c>
      <c r="BA95" s="13"/>
      <c r="BB95" s="13"/>
      <c r="BC95" s="13">
        <v>0</v>
      </c>
      <c r="BD95" s="13">
        <v>0</v>
      </c>
      <c r="BE95" s="13">
        <v>0</v>
      </c>
      <c r="BF95" s="13">
        <v>0</v>
      </c>
      <c r="BG95" s="13">
        <v>0</v>
      </c>
      <c r="BH95" s="13">
        <v>0</v>
      </c>
      <c r="BI95" s="13">
        <v>0</v>
      </c>
      <c r="BJ95" s="13">
        <v>0</v>
      </c>
      <c r="BK95" s="13">
        <v>0</v>
      </c>
      <c r="BL95" s="13">
        <v>0</v>
      </c>
      <c r="BM95" s="13">
        <v>0</v>
      </c>
      <c r="BN95" s="13">
        <v>0</v>
      </c>
      <c r="BO95" s="13">
        <v>0</v>
      </c>
      <c r="BP95" s="13">
        <v>0</v>
      </c>
      <c r="BQ95" s="13">
        <v>0</v>
      </c>
      <c r="BR95" s="13">
        <v>0</v>
      </c>
      <c r="BS95" s="13">
        <v>0</v>
      </c>
      <c r="BT95" s="13">
        <v>0</v>
      </c>
      <c r="BU95" s="13">
        <v>0</v>
      </c>
      <c r="BV95" s="13">
        <v>0</v>
      </c>
      <c r="BW95" s="13">
        <v>0</v>
      </c>
      <c r="BX95" s="13">
        <v>0</v>
      </c>
      <c r="BY95" s="13">
        <v>0</v>
      </c>
      <c r="BZ95" s="13">
        <v>0</v>
      </c>
      <c r="CA95" s="13">
        <v>0</v>
      </c>
      <c r="CB95" s="13">
        <v>0</v>
      </c>
      <c r="CC95" s="13">
        <v>0</v>
      </c>
      <c r="CD95" s="13">
        <v>0</v>
      </c>
      <c r="CE95" s="13">
        <v>0</v>
      </c>
      <c r="CF95" s="13">
        <v>0</v>
      </c>
      <c r="CG95" s="13">
        <v>0</v>
      </c>
      <c r="CH95" s="13">
        <v>0</v>
      </c>
      <c r="CI95" s="13">
        <v>0</v>
      </c>
      <c r="CJ95" s="13">
        <v>0</v>
      </c>
      <c r="CK95" s="13">
        <v>0</v>
      </c>
      <c r="CL95" s="13">
        <v>0</v>
      </c>
      <c r="CM95" s="13">
        <v>0</v>
      </c>
      <c r="CN95" s="13">
        <v>0</v>
      </c>
      <c r="CO95" s="13">
        <v>0</v>
      </c>
      <c r="CP95" s="13">
        <v>0</v>
      </c>
      <c r="CQ95" s="13">
        <v>0</v>
      </c>
      <c r="CR95" s="13">
        <v>0</v>
      </c>
      <c r="CS95" s="13">
        <v>0</v>
      </c>
      <c r="CT95" s="13">
        <v>0</v>
      </c>
      <c r="CU95" s="13">
        <v>0</v>
      </c>
      <c r="CV95" s="13">
        <v>0</v>
      </c>
      <c r="CW95" s="13">
        <v>0</v>
      </c>
      <c r="CX95" s="13">
        <v>0</v>
      </c>
      <c r="CY95" s="13">
        <v>0</v>
      </c>
      <c r="CZ95" s="13">
        <v>0</v>
      </c>
      <c r="DA95" s="13">
        <v>0</v>
      </c>
      <c r="DB95" s="13">
        <v>0</v>
      </c>
      <c r="DC95" s="13">
        <v>0</v>
      </c>
      <c r="DD95" s="13">
        <v>0</v>
      </c>
      <c r="DE95" s="13">
        <v>0</v>
      </c>
      <c r="DF95" s="13">
        <v>0</v>
      </c>
      <c r="DG95" s="13">
        <v>0</v>
      </c>
      <c r="DH95" s="13">
        <v>0</v>
      </c>
      <c r="DI95" s="13">
        <v>0</v>
      </c>
      <c r="DJ95" s="13">
        <v>0</v>
      </c>
      <c r="DK95" s="13">
        <v>0</v>
      </c>
      <c r="DL95" s="13">
        <v>0</v>
      </c>
      <c r="DM95" s="13">
        <v>0</v>
      </c>
      <c r="DN95" s="13">
        <v>0</v>
      </c>
      <c r="DO95" s="13">
        <v>0</v>
      </c>
      <c r="DP95" s="13">
        <v>0</v>
      </c>
      <c r="DQ95" s="13">
        <v>0</v>
      </c>
      <c r="DR95" s="13">
        <v>0</v>
      </c>
      <c r="DS95" s="13">
        <v>0</v>
      </c>
      <c r="DT95" s="13"/>
      <c r="DU95" s="13">
        <v>0</v>
      </c>
      <c r="DV95" s="13">
        <v>0</v>
      </c>
      <c r="DW95" s="13">
        <v>0</v>
      </c>
      <c r="DX95" s="13"/>
      <c r="DY95" s="13">
        <v>0</v>
      </c>
      <c r="DZ95" s="13">
        <v>0</v>
      </c>
      <c r="EA95" s="13">
        <v>0</v>
      </c>
      <c r="EB95" s="13">
        <v>0</v>
      </c>
      <c r="EC95" s="13">
        <v>0</v>
      </c>
      <c r="ED95" s="13">
        <v>0</v>
      </c>
      <c r="EE95" s="13">
        <v>0</v>
      </c>
      <c r="EF95" s="13">
        <v>0</v>
      </c>
      <c r="EG95" s="13">
        <v>0</v>
      </c>
      <c r="EH95" s="13">
        <v>0</v>
      </c>
      <c r="EI95" s="13">
        <v>0</v>
      </c>
      <c r="EJ95" s="13">
        <v>0</v>
      </c>
    </row>
    <row r="96" spans="1:140" ht="15.75" customHeight="1">
      <c r="A96" s="7" t="s">
        <v>74</v>
      </c>
      <c r="B96" s="13"/>
      <c r="C96" s="13">
        <v>0</v>
      </c>
      <c r="D96" s="13">
        <v>0</v>
      </c>
      <c r="E96" s="13">
        <v>0</v>
      </c>
      <c r="F96" s="13">
        <v>0</v>
      </c>
      <c r="G96" s="13">
        <v>0</v>
      </c>
      <c r="H96" s="13"/>
      <c r="I96" s="14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 t="s">
        <v>303</v>
      </c>
      <c r="AT96" s="13"/>
      <c r="AU96" s="13"/>
      <c r="AV96" s="13"/>
      <c r="AW96" s="13"/>
      <c r="AX96" s="13"/>
      <c r="AY96" s="13">
        <v>0</v>
      </c>
      <c r="AZ96" s="13">
        <v>0</v>
      </c>
      <c r="BA96" s="13"/>
      <c r="BB96" s="13"/>
      <c r="BC96" s="13">
        <v>0</v>
      </c>
      <c r="BD96" s="13">
        <v>0</v>
      </c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>
        <v>0</v>
      </c>
      <c r="DV96" s="13">
        <v>0</v>
      </c>
      <c r="DW96" s="13">
        <v>0</v>
      </c>
      <c r="DX96" s="13"/>
      <c r="DY96" s="13">
        <v>0</v>
      </c>
      <c r="DZ96" s="13">
        <v>0</v>
      </c>
      <c r="EA96" s="13">
        <v>0</v>
      </c>
      <c r="EB96" s="13">
        <v>0</v>
      </c>
      <c r="EC96" s="13">
        <v>0</v>
      </c>
      <c r="ED96" s="13">
        <v>0</v>
      </c>
      <c r="EE96" s="13">
        <v>0</v>
      </c>
      <c r="EF96" s="13">
        <v>0</v>
      </c>
      <c r="EG96" s="13">
        <v>0</v>
      </c>
      <c r="EH96" s="13">
        <v>0</v>
      </c>
      <c r="EI96" s="13">
        <v>0</v>
      </c>
      <c r="EJ96" s="13">
        <v>0</v>
      </c>
    </row>
    <row r="97" spans="1:140" ht="15.75" customHeight="1">
      <c r="A97" s="9" t="s">
        <v>254</v>
      </c>
      <c r="B97" s="13"/>
      <c r="C97" s="13">
        <v>0</v>
      </c>
      <c r="D97" s="13">
        <v>0</v>
      </c>
      <c r="E97" s="13">
        <v>0</v>
      </c>
      <c r="F97" s="13">
        <v>0</v>
      </c>
      <c r="G97" s="13">
        <v>0</v>
      </c>
      <c r="H97" s="13"/>
      <c r="I97" s="14">
        <f>IFERROR(VLOOKUP(A97,'Inst Lending numbers'!A:D,4,FALSE)," ")</f>
        <v>3.9800000000000002E-2</v>
      </c>
      <c r="J97" s="13"/>
      <c r="K97" s="13"/>
      <c r="L97" s="13"/>
      <c r="M97" s="13"/>
      <c r="N97" s="13"/>
      <c r="O97" s="13">
        <f t="shared" ref="O97:O99" ca="1" si="16">$O$4</f>
        <v>-0.12602095672146901</v>
      </c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>
        <v>0</v>
      </c>
      <c r="AB97" s="13">
        <f t="shared" ref="AB97:AB99" si="17">$AB$4</f>
        <v>0.24</v>
      </c>
      <c r="AC97" s="13"/>
      <c r="AD97" s="13"/>
      <c r="AE97" s="13">
        <f>IFERROR(SUMIF('Weekly Rates'!D:D,A97,'Weekly Rates'!F:F)/COUNTIF('Weekly Rates'!D:D,A97),0)</f>
        <v>0</v>
      </c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 t="s">
        <v>303</v>
      </c>
      <c r="AT97" s="13"/>
      <c r="AU97" s="13">
        <f>SUMIF('Weekly Rates'!A:A,A97,'Weekly Rates'!B:B)</f>
        <v>0</v>
      </c>
      <c r="AV97" s="13">
        <v>0</v>
      </c>
      <c r="AW97" s="13">
        <v>0</v>
      </c>
      <c r="AX97" s="13">
        <v>0</v>
      </c>
      <c r="AY97" s="13">
        <v>0</v>
      </c>
      <c r="AZ97" s="13">
        <v>0</v>
      </c>
      <c r="BA97" s="13"/>
      <c r="BB97" s="13"/>
      <c r="BC97" s="13">
        <v>0</v>
      </c>
      <c r="BD97" s="13">
        <v>0</v>
      </c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>
        <v>0</v>
      </c>
      <c r="DV97" s="13">
        <v>0</v>
      </c>
      <c r="DW97" s="13">
        <v>0</v>
      </c>
      <c r="DX97" s="13"/>
      <c r="DY97" s="13">
        <v>0</v>
      </c>
      <c r="DZ97" s="13">
        <v>0</v>
      </c>
      <c r="EA97" s="13">
        <v>0</v>
      </c>
      <c r="EB97" s="13">
        <v>0</v>
      </c>
      <c r="EC97" s="13">
        <v>0</v>
      </c>
      <c r="ED97" s="13">
        <v>0</v>
      </c>
      <c r="EE97" s="13">
        <v>0</v>
      </c>
      <c r="EF97" s="13">
        <v>0</v>
      </c>
      <c r="EG97" s="13">
        <v>0</v>
      </c>
      <c r="EH97" s="13">
        <v>0</v>
      </c>
      <c r="EI97" s="13">
        <v>0</v>
      </c>
      <c r="EJ97" s="13">
        <v>0</v>
      </c>
    </row>
    <row r="98" spans="1:140" ht="15.75" customHeight="1">
      <c r="A98" s="9" t="s">
        <v>255</v>
      </c>
      <c r="B98" s="13"/>
      <c r="C98" s="13">
        <v>0</v>
      </c>
      <c r="D98" s="13">
        <v>0</v>
      </c>
      <c r="E98" s="13">
        <v>0</v>
      </c>
      <c r="F98" s="13">
        <v>0</v>
      </c>
      <c r="G98" s="13">
        <v>0</v>
      </c>
      <c r="H98" s="13"/>
      <c r="I98" s="14">
        <f>IFERROR(VLOOKUP(A98,'Inst Lending numbers'!A:D,4,FALSE)," ")</f>
        <v>5.57E-2</v>
      </c>
      <c r="J98" s="13"/>
      <c r="K98" s="13"/>
      <c r="L98" s="13"/>
      <c r="M98" s="13"/>
      <c r="N98" s="13"/>
      <c r="O98" s="13">
        <f t="shared" ca="1" si="16"/>
        <v>-0.12602095672146901</v>
      </c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>
        <v>0</v>
      </c>
      <c r="AB98" s="13">
        <f t="shared" si="17"/>
        <v>0.24</v>
      </c>
      <c r="AC98" s="13"/>
      <c r="AD98" s="13"/>
      <c r="AE98" s="13">
        <f>IFERROR(SUMIF('Weekly Rates'!D:D,A98,'Weekly Rates'!F:F)/COUNTIF('Weekly Rates'!D:D,A98),0)</f>
        <v>0</v>
      </c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 t="s">
        <v>303</v>
      </c>
      <c r="AT98" s="13"/>
      <c r="AU98" s="13">
        <f>SUMIF('Weekly Rates'!A:A,A98,'Weekly Rates'!B:B)</f>
        <v>4.8599999999999997E-2</v>
      </c>
      <c r="AV98" s="13">
        <v>0</v>
      </c>
      <c r="AW98" s="13">
        <v>0</v>
      </c>
      <c r="AX98" s="13">
        <v>0</v>
      </c>
      <c r="AY98" s="13">
        <v>0</v>
      </c>
      <c r="AZ98" s="13">
        <v>0</v>
      </c>
      <c r="BA98" s="13"/>
      <c r="BB98" s="13"/>
      <c r="BC98" s="13">
        <v>0.02</v>
      </c>
      <c r="BD98" s="13">
        <v>2.2100000000000002E-2</v>
      </c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>
        <v>0</v>
      </c>
      <c r="DV98" s="13">
        <v>0</v>
      </c>
      <c r="DW98" s="13">
        <v>0</v>
      </c>
      <c r="DX98" s="13"/>
      <c r="DY98" s="13">
        <v>0</v>
      </c>
      <c r="DZ98" s="13">
        <v>0</v>
      </c>
      <c r="EA98" s="13">
        <v>0</v>
      </c>
      <c r="EB98" s="13">
        <v>0</v>
      </c>
      <c r="EC98" s="13">
        <v>0</v>
      </c>
      <c r="ED98" s="13">
        <v>0</v>
      </c>
      <c r="EE98" s="13">
        <v>0</v>
      </c>
      <c r="EF98" s="13">
        <v>0</v>
      </c>
      <c r="EG98" s="13">
        <v>0</v>
      </c>
      <c r="EH98" s="13">
        <v>0</v>
      </c>
      <c r="EI98" s="13">
        <v>0</v>
      </c>
      <c r="EJ98" s="13">
        <v>0</v>
      </c>
    </row>
    <row r="99" spans="1:140" ht="15.75" customHeight="1">
      <c r="A99" s="9" t="s">
        <v>256</v>
      </c>
      <c r="B99" s="13"/>
      <c r="C99" s="13">
        <v>0</v>
      </c>
      <c r="D99" s="13">
        <v>0</v>
      </c>
      <c r="E99" s="13">
        <v>0</v>
      </c>
      <c r="F99" s="13">
        <v>0</v>
      </c>
      <c r="G99" s="13">
        <v>0</v>
      </c>
      <c r="H99" s="13"/>
      <c r="I99" s="14" t="str">
        <f>IFERROR(VLOOKUP(A99,'Inst Lending numbers'!A:D,4,FALSE)," ")</f>
        <v xml:space="preserve"> </v>
      </c>
      <c r="J99" s="13"/>
      <c r="K99" s="13"/>
      <c r="L99" s="13">
        <v>3.4000000000000002E-2</v>
      </c>
      <c r="M99" s="13"/>
      <c r="N99" s="13"/>
      <c r="O99" s="13">
        <f t="shared" ca="1" si="16"/>
        <v>-0.12602095672146901</v>
      </c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>
        <v>0</v>
      </c>
      <c r="AB99" s="13">
        <f t="shared" si="17"/>
        <v>0.24</v>
      </c>
      <c r="AC99" s="13"/>
      <c r="AD99" s="13"/>
      <c r="AE99" s="13">
        <f>IFERROR(SUMIF('Weekly Rates'!D:D,A99,'Weekly Rates'!F:F)/COUNTIF('Weekly Rates'!D:D,A99),0)</f>
        <v>0</v>
      </c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 t="s">
        <v>303</v>
      </c>
      <c r="AT99" s="13"/>
      <c r="AU99" s="13">
        <f>SUMIF('Weekly Rates'!A:A,A99,'Weekly Rates'!B:B)</f>
        <v>0</v>
      </c>
      <c r="AV99" s="13">
        <v>0</v>
      </c>
      <c r="AW99" s="13">
        <v>0</v>
      </c>
      <c r="AX99" s="13">
        <v>0</v>
      </c>
      <c r="AY99" s="13">
        <v>0</v>
      </c>
      <c r="AZ99" s="13">
        <v>0</v>
      </c>
      <c r="BA99" s="13"/>
      <c r="BB99" s="13"/>
      <c r="BC99" s="13">
        <v>0</v>
      </c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>
        <v>0</v>
      </c>
      <c r="DV99" s="13">
        <v>0</v>
      </c>
      <c r="DW99" s="13">
        <v>0</v>
      </c>
      <c r="DX99" s="13"/>
      <c r="DY99" s="13">
        <v>0</v>
      </c>
      <c r="DZ99" s="13">
        <v>0</v>
      </c>
      <c r="EA99" s="13">
        <v>0</v>
      </c>
      <c r="EB99" s="13">
        <v>0</v>
      </c>
      <c r="EC99" s="13">
        <v>0</v>
      </c>
      <c r="ED99" s="13">
        <v>0</v>
      </c>
      <c r="EE99" s="13">
        <v>0</v>
      </c>
      <c r="EF99" s="13">
        <v>0</v>
      </c>
      <c r="EG99" s="13">
        <v>0</v>
      </c>
      <c r="EH99" s="13">
        <v>0</v>
      </c>
      <c r="EI99" s="13">
        <v>0</v>
      </c>
      <c r="EJ99" s="13">
        <v>0</v>
      </c>
    </row>
    <row r="100" spans="1:140" ht="15.75" customHeight="1">
      <c r="AE100" s="13"/>
      <c r="AS100" s="13" t="s">
        <v>303</v>
      </c>
      <c r="AU100" s="13">
        <f>SUMIF('Weekly Rates'!A:A,A100,'Weekly Rates'!B:B)</f>
        <v>0</v>
      </c>
      <c r="AW100" s="13">
        <v>0</v>
      </c>
      <c r="AY100" s="13">
        <v>0</v>
      </c>
      <c r="AZ100" s="13">
        <v>0</v>
      </c>
      <c r="BA100" s="13"/>
      <c r="BB100" s="13"/>
      <c r="BC100" s="13">
        <v>0</v>
      </c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U100" s="13">
        <v>0</v>
      </c>
      <c r="DV100" s="13">
        <v>0</v>
      </c>
      <c r="DW100" s="13">
        <v>0</v>
      </c>
      <c r="DY100" s="13">
        <v>0</v>
      </c>
      <c r="DZ100" s="13">
        <v>0</v>
      </c>
      <c r="EA100" s="13">
        <v>0</v>
      </c>
      <c r="EB100" s="13">
        <v>0</v>
      </c>
      <c r="EC100" s="13">
        <v>0</v>
      </c>
      <c r="ED100" s="13">
        <v>0</v>
      </c>
      <c r="EE100" s="13">
        <v>0</v>
      </c>
      <c r="EF100" s="13">
        <v>0</v>
      </c>
      <c r="EG100" s="13">
        <v>0</v>
      </c>
      <c r="EH100" s="13">
        <v>0</v>
      </c>
      <c r="EI100" s="13">
        <v>0</v>
      </c>
      <c r="EJ100" s="13">
        <v>0</v>
      </c>
    </row>
    <row r="101" spans="1:140" ht="15.75" customHeight="1">
      <c r="AE101" s="13"/>
      <c r="AS101" s="13" t="s">
        <v>303</v>
      </c>
      <c r="AU101" s="13">
        <f>SUMIF('Weekly Rates'!A:A,A101,'Weekly Rates'!B:B)</f>
        <v>0</v>
      </c>
      <c r="AW101" s="13">
        <v>0</v>
      </c>
      <c r="AY101" s="13">
        <v>0</v>
      </c>
      <c r="AZ101" s="13">
        <v>0</v>
      </c>
      <c r="BA101" s="13"/>
      <c r="BB101" s="13"/>
      <c r="BC101" s="13">
        <v>0</v>
      </c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U101" s="13">
        <v>0</v>
      </c>
      <c r="DV101" s="13">
        <v>0</v>
      </c>
      <c r="DW101" s="13">
        <v>0</v>
      </c>
      <c r="DY101" s="13">
        <v>0</v>
      </c>
      <c r="DZ101" s="13">
        <v>0</v>
      </c>
      <c r="EA101" s="13">
        <v>0</v>
      </c>
      <c r="EB101" s="13">
        <v>0</v>
      </c>
      <c r="EC101" s="13">
        <v>0</v>
      </c>
      <c r="ED101" s="13">
        <v>0</v>
      </c>
      <c r="EE101" s="13">
        <v>0</v>
      </c>
      <c r="EF101" s="13">
        <v>0</v>
      </c>
      <c r="EG101" s="13">
        <v>0</v>
      </c>
      <c r="EH101" s="13">
        <v>0</v>
      </c>
      <c r="EI101" s="13">
        <v>0</v>
      </c>
      <c r="EJ101" s="13">
        <v>0</v>
      </c>
    </row>
    <row r="102" spans="1:140" ht="15.75" customHeight="1">
      <c r="AS102" s="13" t="s">
        <v>303</v>
      </c>
      <c r="AU102" s="13">
        <f>SUMIF('Weekly Rates'!A:A,A102,'Weekly Rates'!B:B)</f>
        <v>0</v>
      </c>
      <c r="AW102" s="13">
        <v>0</v>
      </c>
      <c r="AY102" s="13">
        <v>0</v>
      </c>
      <c r="AZ102" s="13">
        <v>0</v>
      </c>
      <c r="BA102" s="13"/>
      <c r="BB102" s="13"/>
      <c r="BC102" s="13">
        <v>0</v>
      </c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U102" s="13">
        <v>0</v>
      </c>
      <c r="DV102" s="13">
        <v>0</v>
      </c>
      <c r="DW102" s="13">
        <v>0</v>
      </c>
      <c r="DY102" s="13">
        <v>0</v>
      </c>
      <c r="DZ102" s="13">
        <v>0</v>
      </c>
      <c r="EA102" s="13">
        <v>0</v>
      </c>
      <c r="EB102" s="13">
        <v>0</v>
      </c>
      <c r="EC102" s="13">
        <v>0</v>
      </c>
      <c r="ED102" s="13">
        <v>0</v>
      </c>
      <c r="EE102" s="13">
        <v>0</v>
      </c>
      <c r="EF102" s="13">
        <v>0</v>
      </c>
      <c r="EG102" s="13">
        <v>0</v>
      </c>
      <c r="EH102" s="13">
        <v>0</v>
      </c>
      <c r="EI102" s="13">
        <v>0</v>
      </c>
      <c r="EJ102" s="13">
        <v>0</v>
      </c>
    </row>
    <row r="103" spans="1:140" ht="15.75" customHeight="1">
      <c r="AS103" s="13" t="s">
        <v>303</v>
      </c>
      <c r="AU103" s="13">
        <f>SUMIF('Weekly Rates'!A:A,A103,'Weekly Rates'!B:B)</f>
        <v>0</v>
      </c>
      <c r="AW103" s="13">
        <v>0</v>
      </c>
      <c r="AY103" s="13">
        <v>0</v>
      </c>
      <c r="AZ103" s="13">
        <v>0</v>
      </c>
      <c r="BA103" s="13"/>
      <c r="BB103" s="13"/>
      <c r="BC103" s="13">
        <v>0</v>
      </c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>
        <v>0</v>
      </c>
      <c r="DU103" s="13">
        <v>0</v>
      </c>
      <c r="DV103" s="13">
        <v>0</v>
      </c>
      <c r="DW103" s="13">
        <v>0</v>
      </c>
      <c r="DX103" s="13">
        <v>0</v>
      </c>
      <c r="DY103" s="13">
        <v>0</v>
      </c>
      <c r="DZ103" s="13">
        <v>0</v>
      </c>
      <c r="EA103" s="13">
        <v>0</v>
      </c>
      <c r="EB103" s="13">
        <v>0</v>
      </c>
      <c r="EC103" s="13">
        <v>0</v>
      </c>
      <c r="ED103" s="13">
        <v>0</v>
      </c>
      <c r="EE103" s="13">
        <v>0</v>
      </c>
      <c r="EF103" s="13">
        <v>0</v>
      </c>
      <c r="EG103" s="13">
        <v>0</v>
      </c>
      <c r="EH103" s="13">
        <v>0</v>
      </c>
      <c r="EI103" s="13">
        <v>0</v>
      </c>
      <c r="EJ103" s="13">
        <v>0</v>
      </c>
    </row>
    <row r="104" spans="1:140" ht="15.75" customHeight="1">
      <c r="A104" s="7" t="s">
        <v>257</v>
      </c>
      <c r="B104" s="9">
        <f t="shared" ref="B104:D104" si="18">COUNT(B6:B94)</f>
        <v>3</v>
      </c>
      <c r="C104" s="9">
        <f t="shared" si="18"/>
        <v>83</v>
      </c>
      <c r="D104" s="9">
        <f t="shared" si="18"/>
        <v>81</v>
      </c>
      <c r="F104" s="9">
        <f t="shared" ref="F104:O104" si="19">COUNT(F6:F94)</f>
        <v>81</v>
      </c>
      <c r="G104" s="9">
        <f t="shared" si="19"/>
        <v>81</v>
      </c>
      <c r="H104" s="9">
        <f t="shared" si="19"/>
        <v>5</v>
      </c>
      <c r="I104" s="9">
        <f t="shared" si="19"/>
        <v>39</v>
      </c>
      <c r="J104" s="9">
        <f t="shared" si="19"/>
        <v>9</v>
      </c>
      <c r="K104" s="9">
        <f t="shared" si="19"/>
        <v>6</v>
      </c>
      <c r="L104" s="9">
        <f t="shared" si="19"/>
        <v>10</v>
      </c>
      <c r="M104" s="9">
        <f t="shared" si="19"/>
        <v>7</v>
      </c>
      <c r="N104" s="9">
        <f t="shared" si="19"/>
        <v>6</v>
      </c>
      <c r="O104" s="9">
        <f t="shared" ca="1" si="19"/>
        <v>80</v>
      </c>
      <c r="Z104" s="9">
        <f t="shared" ref="Z104:DB104" si="20">COUNT(Z6:Z94)</f>
        <v>4</v>
      </c>
      <c r="AA104" s="9">
        <f t="shared" si="20"/>
        <v>87</v>
      </c>
      <c r="AB104" s="9">
        <f t="shared" si="20"/>
        <v>84</v>
      </c>
      <c r="AC104" s="9">
        <f t="shared" si="20"/>
        <v>4</v>
      </c>
      <c r="AD104" s="9">
        <f t="shared" si="20"/>
        <v>4</v>
      </c>
      <c r="AE104" s="9">
        <f t="shared" si="20"/>
        <v>84</v>
      </c>
      <c r="AF104" s="9">
        <f t="shared" si="20"/>
        <v>4</v>
      </c>
      <c r="AG104" s="9">
        <f t="shared" si="20"/>
        <v>4</v>
      </c>
      <c r="AH104" s="9">
        <f t="shared" si="20"/>
        <v>4</v>
      </c>
      <c r="AI104" s="9">
        <f t="shared" si="20"/>
        <v>4</v>
      </c>
      <c r="AJ104" s="9">
        <f t="shared" si="20"/>
        <v>4</v>
      </c>
      <c r="AK104" s="9">
        <f t="shared" si="20"/>
        <v>4</v>
      </c>
      <c r="AL104" s="9">
        <f t="shared" si="20"/>
        <v>4</v>
      </c>
      <c r="AM104" s="9">
        <f t="shared" si="20"/>
        <v>4</v>
      </c>
      <c r="AN104" s="9">
        <f t="shared" si="20"/>
        <v>6</v>
      </c>
      <c r="AO104" s="9">
        <f t="shared" si="20"/>
        <v>4</v>
      </c>
      <c r="AP104" s="9">
        <f t="shared" si="20"/>
        <v>5</v>
      </c>
      <c r="AQ104" s="9">
        <f t="shared" si="20"/>
        <v>9</v>
      </c>
      <c r="AR104" s="9">
        <f t="shared" si="20"/>
        <v>6</v>
      </c>
      <c r="AS104" s="9">
        <f t="shared" si="20"/>
        <v>5</v>
      </c>
      <c r="AT104" s="9">
        <f t="shared" si="20"/>
        <v>4</v>
      </c>
      <c r="AU104" s="9">
        <f t="shared" si="20"/>
        <v>50</v>
      </c>
      <c r="AV104" s="9">
        <f t="shared" si="20"/>
        <v>50</v>
      </c>
      <c r="AW104" s="9">
        <f t="shared" si="20"/>
        <v>53</v>
      </c>
      <c r="AX104" s="9">
        <f t="shared" si="20"/>
        <v>50</v>
      </c>
      <c r="AY104" s="9">
        <f t="shared" si="20"/>
        <v>55</v>
      </c>
      <c r="AZ104" s="9">
        <f t="shared" si="20"/>
        <v>55</v>
      </c>
      <c r="BA104" s="9">
        <f t="shared" si="20"/>
        <v>4</v>
      </c>
      <c r="BB104" s="9">
        <f t="shared" si="20"/>
        <v>4</v>
      </c>
      <c r="BC104" s="9">
        <f t="shared" si="20"/>
        <v>5</v>
      </c>
      <c r="BD104" s="9">
        <f t="shared" si="20"/>
        <v>5</v>
      </c>
      <c r="BE104" s="9">
        <f t="shared" si="20"/>
        <v>5</v>
      </c>
      <c r="BF104" s="9">
        <f t="shared" si="20"/>
        <v>5</v>
      </c>
      <c r="BG104" s="9">
        <f t="shared" si="20"/>
        <v>5</v>
      </c>
      <c r="BH104" s="9">
        <f t="shared" si="20"/>
        <v>5</v>
      </c>
      <c r="BI104" s="9">
        <f t="shared" si="20"/>
        <v>5</v>
      </c>
      <c r="BJ104" s="9">
        <f t="shared" si="20"/>
        <v>5</v>
      </c>
      <c r="BK104" s="9">
        <f t="shared" si="20"/>
        <v>5</v>
      </c>
      <c r="BL104" s="9">
        <f t="shared" si="20"/>
        <v>5</v>
      </c>
      <c r="BM104" s="9">
        <f t="shared" si="20"/>
        <v>5</v>
      </c>
      <c r="BN104" s="9">
        <f t="shared" si="20"/>
        <v>5</v>
      </c>
      <c r="BO104" s="9">
        <f t="shared" si="20"/>
        <v>5</v>
      </c>
      <c r="BP104" s="9">
        <f t="shared" si="20"/>
        <v>5</v>
      </c>
      <c r="BQ104" s="9">
        <f t="shared" si="20"/>
        <v>5</v>
      </c>
      <c r="BR104" s="9">
        <f t="shared" si="20"/>
        <v>5</v>
      </c>
      <c r="BS104" s="9">
        <f t="shared" si="20"/>
        <v>15</v>
      </c>
      <c r="BT104" s="9">
        <f t="shared" si="20"/>
        <v>15</v>
      </c>
      <c r="BU104" s="9">
        <f t="shared" si="20"/>
        <v>15</v>
      </c>
      <c r="BV104" s="9">
        <f t="shared" si="20"/>
        <v>15</v>
      </c>
      <c r="BW104" s="9">
        <f t="shared" si="20"/>
        <v>15</v>
      </c>
      <c r="BX104" s="9">
        <f t="shared" si="20"/>
        <v>15</v>
      </c>
      <c r="BY104" s="9">
        <f t="shared" si="20"/>
        <v>15</v>
      </c>
      <c r="BZ104" s="9">
        <f t="shared" si="20"/>
        <v>15</v>
      </c>
      <c r="CA104" s="9">
        <f t="shared" si="20"/>
        <v>15</v>
      </c>
      <c r="CB104" s="9">
        <f t="shared" si="20"/>
        <v>15</v>
      </c>
      <c r="CC104" s="9">
        <f t="shared" si="20"/>
        <v>15</v>
      </c>
      <c r="CD104" s="9">
        <f t="shared" si="20"/>
        <v>15</v>
      </c>
      <c r="CE104" s="9">
        <f t="shared" si="20"/>
        <v>15</v>
      </c>
      <c r="CF104" s="9">
        <f t="shared" si="20"/>
        <v>15</v>
      </c>
      <c r="CG104" s="9">
        <f t="shared" si="20"/>
        <v>15</v>
      </c>
      <c r="CH104" s="9">
        <f t="shared" si="20"/>
        <v>15</v>
      </c>
      <c r="CI104" s="9">
        <f t="shared" ca="1" si="20"/>
        <v>15</v>
      </c>
      <c r="CJ104" s="9">
        <f t="shared" si="20"/>
        <v>15</v>
      </c>
      <c r="CK104" s="9">
        <f t="shared" si="20"/>
        <v>15</v>
      </c>
      <c r="CL104" s="9">
        <f t="shared" si="20"/>
        <v>15</v>
      </c>
      <c r="CM104" s="9">
        <f t="shared" ca="1" si="20"/>
        <v>15</v>
      </c>
      <c r="CN104" s="9">
        <f t="shared" ca="1" si="20"/>
        <v>15</v>
      </c>
      <c r="CO104" s="9">
        <f t="shared" ca="1" si="20"/>
        <v>15</v>
      </c>
      <c r="CP104" s="9">
        <f t="shared" si="20"/>
        <v>15</v>
      </c>
      <c r="CQ104" s="9">
        <f t="shared" si="20"/>
        <v>15</v>
      </c>
      <c r="CR104" s="9">
        <f t="shared" si="20"/>
        <v>15</v>
      </c>
      <c r="CS104" s="9">
        <f t="shared" si="20"/>
        <v>15</v>
      </c>
      <c r="CT104" s="9">
        <f t="shared" si="20"/>
        <v>15</v>
      </c>
      <c r="CU104" s="9">
        <f t="shared" si="20"/>
        <v>15</v>
      </c>
      <c r="CV104" s="9">
        <f t="shared" si="20"/>
        <v>15</v>
      </c>
      <c r="CW104" s="9">
        <f t="shared" si="20"/>
        <v>15</v>
      </c>
      <c r="CX104" s="9">
        <f t="shared" si="20"/>
        <v>15</v>
      </c>
      <c r="CY104" s="9">
        <f t="shared" si="20"/>
        <v>15</v>
      </c>
      <c r="CZ104" s="9">
        <f t="shared" ca="1" si="20"/>
        <v>15</v>
      </c>
      <c r="DA104" s="9">
        <f t="shared" si="20"/>
        <v>15</v>
      </c>
      <c r="DB104" s="9">
        <f t="shared" si="20"/>
        <v>15</v>
      </c>
      <c r="DU104" s="7">
        <v>3</v>
      </c>
    </row>
    <row r="105" spans="1:140" ht="15.75" customHeight="1">
      <c r="AS105" s="13" t="s">
        <v>303</v>
      </c>
      <c r="AU105" s="17"/>
      <c r="AZ105" s="13" t="s">
        <v>303</v>
      </c>
      <c r="BH105" s="13" t="s">
        <v>303</v>
      </c>
      <c r="BJ105" s="13" t="s">
        <v>303</v>
      </c>
      <c r="BK105" s="13" t="s">
        <v>303</v>
      </c>
      <c r="BL105" s="13" t="s">
        <v>303</v>
      </c>
      <c r="BN105" s="13" t="s">
        <v>303</v>
      </c>
      <c r="BO105" s="13" t="s">
        <v>303</v>
      </c>
      <c r="BP105" s="13" t="s">
        <v>303</v>
      </c>
      <c r="BQ105" s="13" t="s">
        <v>303</v>
      </c>
      <c r="BR105" s="13" t="s">
        <v>303</v>
      </c>
      <c r="BS105" s="13" t="s">
        <v>303</v>
      </c>
      <c r="BT105" s="13" t="s">
        <v>303</v>
      </c>
      <c r="BV105" s="13" t="s">
        <v>303</v>
      </c>
      <c r="BW105" s="13" t="s">
        <v>303</v>
      </c>
      <c r="BX105" s="13" t="s">
        <v>303</v>
      </c>
      <c r="CA105" s="13" t="s">
        <v>303</v>
      </c>
      <c r="CB105" s="13" t="s">
        <v>303</v>
      </c>
      <c r="CC105" s="13" t="s">
        <v>303</v>
      </c>
      <c r="CD105" s="13" t="s">
        <v>303</v>
      </c>
      <c r="CE105" s="13" t="s">
        <v>303</v>
      </c>
      <c r="CF105" s="13" t="s">
        <v>303</v>
      </c>
      <c r="CG105" s="13" t="s">
        <v>303</v>
      </c>
      <c r="CH105" s="13" t="s">
        <v>303</v>
      </c>
      <c r="CI105" s="13" t="s">
        <v>303</v>
      </c>
      <c r="CJ105" s="13" t="s">
        <v>303</v>
      </c>
      <c r="CK105" s="13" t="s">
        <v>303</v>
      </c>
      <c r="CL105" s="13" t="s">
        <v>303</v>
      </c>
      <c r="CM105" s="13" t="s">
        <v>303</v>
      </c>
      <c r="CN105" s="13" t="s">
        <v>303</v>
      </c>
      <c r="CP105" s="13" t="s">
        <v>303</v>
      </c>
      <c r="CQ105" s="13" t="s">
        <v>303</v>
      </c>
      <c r="CR105" s="13" t="s">
        <v>303</v>
      </c>
      <c r="CY105" s="13" t="s">
        <v>303</v>
      </c>
      <c r="CZ105" s="13" t="s">
        <v>303</v>
      </c>
      <c r="DA105" s="13" t="s">
        <v>303</v>
      </c>
    </row>
    <row r="106" spans="1:140" ht="15.75" customHeight="1">
      <c r="AS106" s="13" t="s">
        <v>303</v>
      </c>
      <c r="AU106" s="17"/>
      <c r="AZ106" s="13" t="s">
        <v>303</v>
      </c>
      <c r="BH106" s="13" t="s">
        <v>303</v>
      </c>
      <c r="BJ106" s="13" t="s">
        <v>303</v>
      </c>
      <c r="BK106" s="13" t="s">
        <v>303</v>
      </c>
      <c r="BL106" s="13" t="s">
        <v>303</v>
      </c>
      <c r="BN106" s="13" t="s">
        <v>303</v>
      </c>
      <c r="BO106" s="13" t="s">
        <v>303</v>
      </c>
      <c r="BP106" s="13" t="s">
        <v>303</v>
      </c>
      <c r="BQ106" s="13" t="s">
        <v>303</v>
      </c>
      <c r="BR106" s="13" t="s">
        <v>303</v>
      </c>
      <c r="BS106" s="13" t="s">
        <v>303</v>
      </c>
      <c r="BT106" s="13" t="s">
        <v>303</v>
      </c>
      <c r="BV106" s="13" t="s">
        <v>303</v>
      </c>
      <c r="BW106" s="13" t="s">
        <v>303</v>
      </c>
      <c r="BX106" s="13" t="s">
        <v>303</v>
      </c>
      <c r="CA106" s="13" t="s">
        <v>303</v>
      </c>
      <c r="CB106" s="13" t="s">
        <v>303</v>
      </c>
      <c r="CC106" s="13" t="s">
        <v>303</v>
      </c>
      <c r="CD106" s="13" t="s">
        <v>303</v>
      </c>
      <c r="CE106" s="13" t="s">
        <v>303</v>
      </c>
      <c r="CF106" s="13" t="s">
        <v>303</v>
      </c>
      <c r="CG106" s="13" t="s">
        <v>303</v>
      </c>
      <c r="CH106" s="13" t="s">
        <v>303</v>
      </c>
      <c r="CI106" s="13" t="s">
        <v>303</v>
      </c>
      <c r="CJ106" s="13" t="s">
        <v>303</v>
      </c>
      <c r="CK106" s="13" t="s">
        <v>303</v>
      </c>
      <c r="CL106" s="13" t="s">
        <v>303</v>
      </c>
      <c r="CM106" s="13" t="s">
        <v>303</v>
      </c>
      <c r="CN106" s="13" t="s">
        <v>303</v>
      </c>
      <c r="CP106" s="13" t="s">
        <v>303</v>
      </c>
      <c r="CQ106" s="13" t="s">
        <v>303</v>
      </c>
      <c r="CR106" s="13" t="s">
        <v>303</v>
      </c>
      <c r="CY106" s="13" t="s">
        <v>303</v>
      </c>
      <c r="CZ106" s="13" t="s">
        <v>303</v>
      </c>
      <c r="DA106" s="13" t="s">
        <v>303</v>
      </c>
    </row>
    <row r="107" spans="1:140" ht="15.75" customHeight="1">
      <c r="AS107" s="13" t="s">
        <v>303</v>
      </c>
      <c r="AU107" s="17"/>
      <c r="AZ107" s="13" t="s">
        <v>303</v>
      </c>
      <c r="BH107" s="13" t="s">
        <v>303</v>
      </c>
      <c r="BJ107" s="13" t="s">
        <v>303</v>
      </c>
      <c r="BK107" s="13" t="s">
        <v>303</v>
      </c>
      <c r="BL107" s="13" t="s">
        <v>303</v>
      </c>
      <c r="BN107" s="13" t="s">
        <v>303</v>
      </c>
      <c r="BO107" s="13" t="s">
        <v>303</v>
      </c>
      <c r="BP107" s="13" t="s">
        <v>303</v>
      </c>
      <c r="BQ107" s="13" t="s">
        <v>303</v>
      </c>
      <c r="BR107" s="13" t="s">
        <v>303</v>
      </c>
      <c r="BS107" s="13" t="s">
        <v>303</v>
      </c>
      <c r="BT107" s="13" t="s">
        <v>303</v>
      </c>
      <c r="BV107" s="13" t="s">
        <v>303</v>
      </c>
      <c r="BW107" s="13" t="s">
        <v>303</v>
      </c>
      <c r="BX107" s="13" t="s">
        <v>303</v>
      </c>
      <c r="CA107" s="13" t="s">
        <v>303</v>
      </c>
      <c r="CB107" s="13" t="s">
        <v>303</v>
      </c>
      <c r="CC107" s="13" t="s">
        <v>303</v>
      </c>
      <c r="CD107" s="13" t="s">
        <v>303</v>
      </c>
      <c r="CE107" s="13" t="s">
        <v>303</v>
      </c>
      <c r="CF107" s="13" t="s">
        <v>303</v>
      </c>
      <c r="CG107" s="13" t="s">
        <v>303</v>
      </c>
      <c r="CH107" s="13" t="s">
        <v>303</v>
      </c>
      <c r="CI107" s="13" t="s">
        <v>303</v>
      </c>
      <c r="CJ107" s="13" t="s">
        <v>303</v>
      </c>
      <c r="CK107" s="13" t="s">
        <v>303</v>
      </c>
      <c r="CL107" s="13" t="s">
        <v>303</v>
      </c>
      <c r="CM107" s="13" t="s">
        <v>303</v>
      </c>
      <c r="CN107" s="13" t="s">
        <v>303</v>
      </c>
      <c r="CP107" s="13" t="s">
        <v>303</v>
      </c>
      <c r="CQ107" s="13" t="s">
        <v>303</v>
      </c>
      <c r="CR107" s="13" t="s">
        <v>303</v>
      </c>
      <c r="CY107" s="13" t="s">
        <v>303</v>
      </c>
      <c r="CZ107" s="13" t="s">
        <v>303</v>
      </c>
      <c r="DA107" s="13" t="s">
        <v>303</v>
      </c>
    </row>
    <row r="108" spans="1:140" ht="15.75" customHeight="1">
      <c r="AS108" s="13" t="s">
        <v>303</v>
      </c>
      <c r="AU108" s="17"/>
      <c r="AZ108" s="13" t="s">
        <v>303</v>
      </c>
      <c r="BH108" s="13" t="s">
        <v>303</v>
      </c>
      <c r="BJ108" s="13" t="s">
        <v>303</v>
      </c>
      <c r="BK108" s="13" t="s">
        <v>303</v>
      </c>
      <c r="BL108" s="13" t="s">
        <v>303</v>
      </c>
      <c r="BN108" s="13" t="s">
        <v>303</v>
      </c>
      <c r="BO108" s="13" t="s">
        <v>303</v>
      </c>
      <c r="BP108" s="13" t="s">
        <v>303</v>
      </c>
      <c r="BQ108" s="13" t="s">
        <v>303</v>
      </c>
      <c r="BR108" s="13" t="s">
        <v>303</v>
      </c>
      <c r="BS108" s="13" t="s">
        <v>303</v>
      </c>
      <c r="BT108" s="13" t="s">
        <v>303</v>
      </c>
      <c r="BV108" s="13" t="s">
        <v>303</v>
      </c>
      <c r="BW108" s="13" t="s">
        <v>303</v>
      </c>
      <c r="BX108" s="13" t="s">
        <v>303</v>
      </c>
      <c r="CA108" s="13" t="s">
        <v>303</v>
      </c>
      <c r="CB108" s="13" t="s">
        <v>303</v>
      </c>
      <c r="CC108" s="13" t="s">
        <v>303</v>
      </c>
      <c r="CD108" s="13" t="s">
        <v>303</v>
      </c>
      <c r="CE108" s="13" t="s">
        <v>303</v>
      </c>
      <c r="CF108" s="13" t="s">
        <v>303</v>
      </c>
      <c r="CG108" s="13" t="s">
        <v>303</v>
      </c>
      <c r="CH108" s="13" t="s">
        <v>303</v>
      </c>
      <c r="CI108" s="13" t="s">
        <v>303</v>
      </c>
      <c r="CJ108" s="13" t="s">
        <v>303</v>
      </c>
      <c r="CK108" s="13" t="s">
        <v>303</v>
      </c>
      <c r="CL108" s="13" t="s">
        <v>303</v>
      </c>
      <c r="CM108" s="13" t="s">
        <v>303</v>
      </c>
      <c r="CN108" s="13" t="s">
        <v>303</v>
      </c>
      <c r="CP108" s="13" t="s">
        <v>303</v>
      </c>
      <c r="CQ108" s="13" t="s">
        <v>303</v>
      </c>
      <c r="CR108" s="13" t="s">
        <v>303</v>
      </c>
      <c r="CY108" s="13" t="s">
        <v>303</v>
      </c>
      <c r="CZ108" s="13" t="s">
        <v>303</v>
      </c>
      <c r="DA108" s="13" t="s">
        <v>303</v>
      </c>
    </row>
    <row r="109" spans="1:140" ht="15.75" customHeight="1">
      <c r="AS109" s="13" t="s">
        <v>303</v>
      </c>
      <c r="AU109" s="18"/>
      <c r="AZ109" s="13" t="s">
        <v>303</v>
      </c>
      <c r="BH109" s="13" t="s">
        <v>303</v>
      </c>
      <c r="BJ109" s="13" t="s">
        <v>303</v>
      </c>
      <c r="BK109" s="13" t="s">
        <v>303</v>
      </c>
      <c r="BL109" s="13" t="s">
        <v>303</v>
      </c>
      <c r="BN109" s="13" t="s">
        <v>303</v>
      </c>
      <c r="BO109" s="13" t="s">
        <v>303</v>
      </c>
      <c r="BP109" s="13" t="s">
        <v>303</v>
      </c>
      <c r="BQ109" s="13" t="s">
        <v>303</v>
      </c>
      <c r="BR109" s="13" t="s">
        <v>303</v>
      </c>
      <c r="BS109" s="13" t="s">
        <v>303</v>
      </c>
      <c r="BT109" s="13" t="s">
        <v>303</v>
      </c>
      <c r="BV109" s="13" t="s">
        <v>303</v>
      </c>
      <c r="BW109" s="13" t="s">
        <v>303</v>
      </c>
      <c r="BX109" s="13" t="s">
        <v>303</v>
      </c>
      <c r="CA109" s="13" t="s">
        <v>303</v>
      </c>
      <c r="CB109" s="13" t="s">
        <v>303</v>
      </c>
      <c r="CC109" s="13" t="s">
        <v>303</v>
      </c>
      <c r="CD109" s="13" t="s">
        <v>303</v>
      </c>
      <c r="CE109" s="13" t="s">
        <v>303</v>
      </c>
      <c r="CF109" s="13" t="s">
        <v>303</v>
      </c>
      <c r="CG109" s="13" t="s">
        <v>303</v>
      </c>
      <c r="CH109" s="13" t="s">
        <v>303</v>
      </c>
      <c r="CI109" s="13" t="s">
        <v>303</v>
      </c>
      <c r="CJ109" s="13" t="s">
        <v>303</v>
      </c>
      <c r="CK109" s="13" t="s">
        <v>303</v>
      </c>
      <c r="CL109" s="13" t="s">
        <v>303</v>
      </c>
      <c r="CM109" s="13" t="s">
        <v>303</v>
      </c>
      <c r="CN109" s="13" t="s">
        <v>303</v>
      </c>
      <c r="CP109" s="13" t="s">
        <v>303</v>
      </c>
      <c r="CQ109" s="13" t="s">
        <v>303</v>
      </c>
      <c r="CR109" s="13" t="s">
        <v>303</v>
      </c>
      <c r="CY109" s="13" t="s">
        <v>303</v>
      </c>
      <c r="CZ109" s="13" t="s">
        <v>303</v>
      </c>
      <c r="DA109" s="13" t="s">
        <v>303</v>
      </c>
    </row>
    <row r="110" spans="1:140" ht="15.75" customHeight="1">
      <c r="AS110" s="13" t="s">
        <v>303</v>
      </c>
      <c r="AU110" s="17"/>
      <c r="AZ110" s="13" t="s">
        <v>303</v>
      </c>
      <c r="BH110" s="13" t="s">
        <v>303</v>
      </c>
      <c r="BJ110" s="13" t="s">
        <v>303</v>
      </c>
      <c r="BK110" s="13" t="s">
        <v>303</v>
      </c>
      <c r="BL110" s="13" t="s">
        <v>303</v>
      </c>
      <c r="BN110" s="13" t="s">
        <v>303</v>
      </c>
      <c r="BO110" s="13" t="s">
        <v>303</v>
      </c>
      <c r="BP110" s="13" t="s">
        <v>303</v>
      </c>
      <c r="BQ110" s="13" t="s">
        <v>303</v>
      </c>
      <c r="BR110" s="13" t="s">
        <v>303</v>
      </c>
      <c r="BS110" s="13" t="s">
        <v>303</v>
      </c>
      <c r="BT110" s="13" t="s">
        <v>303</v>
      </c>
      <c r="BV110" s="13" t="s">
        <v>303</v>
      </c>
      <c r="BW110" s="13" t="s">
        <v>303</v>
      </c>
      <c r="BX110" s="13" t="s">
        <v>303</v>
      </c>
      <c r="CA110" s="13" t="s">
        <v>303</v>
      </c>
      <c r="CB110" s="13" t="s">
        <v>303</v>
      </c>
      <c r="CC110" s="13" t="s">
        <v>303</v>
      </c>
      <c r="CD110" s="13" t="s">
        <v>303</v>
      </c>
      <c r="CE110" s="13" t="s">
        <v>303</v>
      </c>
      <c r="CF110" s="13" t="s">
        <v>303</v>
      </c>
      <c r="CG110" s="13" t="s">
        <v>303</v>
      </c>
      <c r="CH110" s="13" t="s">
        <v>303</v>
      </c>
      <c r="CI110" s="13" t="s">
        <v>303</v>
      </c>
      <c r="CJ110" s="13" t="s">
        <v>303</v>
      </c>
      <c r="CK110" s="13" t="s">
        <v>303</v>
      </c>
      <c r="CL110" s="13" t="s">
        <v>303</v>
      </c>
      <c r="CM110" s="13" t="s">
        <v>303</v>
      </c>
      <c r="CN110" s="13" t="s">
        <v>303</v>
      </c>
      <c r="CP110" s="13" t="s">
        <v>303</v>
      </c>
      <c r="CQ110" s="13" t="s">
        <v>303</v>
      </c>
      <c r="CR110" s="13" t="s">
        <v>303</v>
      </c>
      <c r="CY110" s="13" t="s">
        <v>303</v>
      </c>
      <c r="CZ110" s="13" t="s">
        <v>303</v>
      </c>
      <c r="DA110" s="13" t="s">
        <v>303</v>
      </c>
    </row>
    <row r="111" spans="1:140" ht="15.75" customHeight="1">
      <c r="AS111" s="13" t="s">
        <v>303</v>
      </c>
      <c r="AU111" s="17"/>
      <c r="AZ111" s="13" t="s">
        <v>303</v>
      </c>
      <c r="BH111" s="13" t="s">
        <v>303</v>
      </c>
      <c r="BJ111" s="13" t="s">
        <v>303</v>
      </c>
      <c r="BK111" s="13" t="s">
        <v>303</v>
      </c>
      <c r="BL111" s="13" t="s">
        <v>303</v>
      </c>
      <c r="BN111" s="13" t="s">
        <v>303</v>
      </c>
      <c r="BO111" s="13" t="s">
        <v>303</v>
      </c>
      <c r="BP111" s="13" t="s">
        <v>303</v>
      </c>
      <c r="BQ111" s="13" t="s">
        <v>303</v>
      </c>
      <c r="BR111" s="13" t="s">
        <v>303</v>
      </c>
      <c r="BS111" s="13" t="s">
        <v>303</v>
      </c>
      <c r="BT111" s="13" t="s">
        <v>303</v>
      </c>
      <c r="BV111" s="13" t="s">
        <v>303</v>
      </c>
      <c r="BW111" s="13" t="s">
        <v>303</v>
      </c>
      <c r="BX111" s="13" t="s">
        <v>303</v>
      </c>
      <c r="CA111" s="13" t="s">
        <v>303</v>
      </c>
      <c r="CB111" s="13" t="s">
        <v>303</v>
      </c>
      <c r="CC111" s="13" t="s">
        <v>303</v>
      </c>
      <c r="CD111" s="13" t="s">
        <v>303</v>
      </c>
      <c r="CE111" s="13" t="s">
        <v>303</v>
      </c>
      <c r="CF111" s="13" t="s">
        <v>303</v>
      </c>
      <c r="CG111" s="13" t="s">
        <v>303</v>
      </c>
      <c r="CH111" s="13" t="s">
        <v>303</v>
      </c>
      <c r="CI111" s="13" t="s">
        <v>303</v>
      </c>
      <c r="CJ111" s="13" t="s">
        <v>303</v>
      </c>
      <c r="CK111" s="13" t="s">
        <v>303</v>
      </c>
      <c r="CL111" s="13" t="s">
        <v>303</v>
      </c>
      <c r="CM111" s="13" t="s">
        <v>303</v>
      </c>
      <c r="CN111" s="13" t="s">
        <v>303</v>
      </c>
      <c r="CP111" s="13" t="s">
        <v>303</v>
      </c>
      <c r="CQ111" s="13" t="s">
        <v>303</v>
      </c>
      <c r="CR111" s="13" t="s">
        <v>303</v>
      </c>
      <c r="CY111" s="13" t="s">
        <v>303</v>
      </c>
      <c r="CZ111" s="13" t="s">
        <v>303</v>
      </c>
      <c r="DA111" s="13" t="s">
        <v>303</v>
      </c>
    </row>
    <row r="112" spans="1:140" ht="15.75" customHeight="1">
      <c r="AS112" s="13" t="s">
        <v>303</v>
      </c>
      <c r="AU112" s="17"/>
      <c r="AZ112" s="13" t="s">
        <v>303</v>
      </c>
      <c r="BH112" s="13" t="s">
        <v>303</v>
      </c>
      <c r="BJ112" s="13" t="s">
        <v>303</v>
      </c>
      <c r="BK112" s="13" t="s">
        <v>303</v>
      </c>
      <c r="BL112" s="13" t="s">
        <v>303</v>
      </c>
      <c r="BN112" s="13" t="s">
        <v>303</v>
      </c>
      <c r="BO112" s="13" t="s">
        <v>303</v>
      </c>
      <c r="BP112" s="13" t="s">
        <v>303</v>
      </c>
      <c r="BQ112" s="13" t="s">
        <v>303</v>
      </c>
      <c r="BR112" s="13" t="s">
        <v>303</v>
      </c>
      <c r="BS112" s="13" t="s">
        <v>303</v>
      </c>
      <c r="BT112" s="13" t="s">
        <v>303</v>
      </c>
      <c r="BV112" s="13" t="s">
        <v>303</v>
      </c>
      <c r="BW112" s="13" t="s">
        <v>303</v>
      </c>
      <c r="BX112" s="13" t="s">
        <v>303</v>
      </c>
      <c r="CA112" s="13" t="s">
        <v>303</v>
      </c>
      <c r="CB112" s="13" t="s">
        <v>303</v>
      </c>
      <c r="CC112" s="13" t="s">
        <v>303</v>
      </c>
      <c r="CD112" s="13" t="s">
        <v>303</v>
      </c>
      <c r="CE112" s="13" t="s">
        <v>303</v>
      </c>
      <c r="CF112" s="13" t="s">
        <v>303</v>
      </c>
      <c r="CG112" s="13" t="s">
        <v>303</v>
      </c>
      <c r="CH112" s="13" t="s">
        <v>303</v>
      </c>
      <c r="CI112" s="13" t="s">
        <v>303</v>
      </c>
      <c r="CJ112" s="13" t="s">
        <v>303</v>
      </c>
      <c r="CK112" s="13" t="s">
        <v>303</v>
      </c>
      <c r="CL112" s="13" t="s">
        <v>303</v>
      </c>
      <c r="CM112" s="13" t="s">
        <v>303</v>
      </c>
      <c r="CN112" s="13" t="s">
        <v>303</v>
      </c>
      <c r="CP112" s="13" t="s">
        <v>303</v>
      </c>
      <c r="CQ112" s="13" t="s">
        <v>303</v>
      </c>
      <c r="CR112" s="13" t="s">
        <v>303</v>
      </c>
      <c r="CY112" s="13" t="s">
        <v>303</v>
      </c>
      <c r="CZ112" s="13" t="s">
        <v>303</v>
      </c>
      <c r="DA112" s="13" t="s">
        <v>303</v>
      </c>
    </row>
    <row r="113" spans="45:105" ht="15.75" customHeight="1">
      <c r="AS113" s="13" t="s">
        <v>303</v>
      </c>
      <c r="AU113" s="17"/>
      <c r="AZ113" s="13" t="s">
        <v>303</v>
      </c>
      <c r="BH113" s="13" t="s">
        <v>303</v>
      </c>
      <c r="BJ113" s="13" t="s">
        <v>303</v>
      </c>
      <c r="BK113" s="13" t="s">
        <v>303</v>
      </c>
      <c r="BL113" s="13" t="s">
        <v>303</v>
      </c>
      <c r="BN113" s="13" t="s">
        <v>303</v>
      </c>
      <c r="BO113" s="13" t="s">
        <v>303</v>
      </c>
      <c r="BP113" s="13" t="s">
        <v>303</v>
      </c>
      <c r="BQ113" s="13" t="s">
        <v>303</v>
      </c>
      <c r="BR113" s="13" t="s">
        <v>303</v>
      </c>
      <c r="BS113" s="13" t="s">
        <v>303</v>
      </c>
      <c r="BT113" s="13" t="s">
        <v>303</v>
      </c>
      <c r="BV113" s="13" t="s">
        <v>303</v>
      </c>
      <c r="BW113" s="13" t="s">
        <v>303</v>
      </c>
      <c r="BX113" s="13" t="s">
        <v>303</v>
      </c>
      <c r="CA113" s="13" t="s">
        <v>303</v>
      </c>
      <c r="CB113" s="13" t="s">
        <v>303</v>
      </c>
      <c r="CC113" s="13" t="s">
        <v>303</v>
      </c>
      <c r="CD113" s="13" t="s">
        <v>303</v>
      </c>
      <c r="CE113" s="13" t="s">
        <v>303</v>
      </c>
      <c r="CF113" s="13" t="s">
        <v>303</v>
      </c>
      <c r="CG113" s="13" t="s">
        <v>303</v>
      </c>
      <c r="CH113" s="13" t="s">
        <v>303</v>
      </c>
      <c r="CI113" s="13" t="s">
        <v>303</v>
      </c>
      <c r="CJ113" s="13" t="s">
        <v>303</v>
      </c>
      <c r="CK113" s="13" t="s">
        <v>303</v>
      </c>
      <c r="CL113" s="13" t="s">
        <v>303</v>
      </c>
      <c r="CM113" s="13" t="s">
        <v>303</v>
      </c>
      <c r="CN113" s="13" t="s">
        <v>303</v>
      </c>
      <c r="CP113" s="13" t="s">
        <v>303</v>
      </c>
      <c r="CQ113" s="13" t="s">
        <v>303</v>
      </c>
      <c r="CR113" s="13" t="s">
        <v>303</v>
      </c>
      <c r="CY113" s="13" t="s">
        <v>303</v>
      </c>
      <c r="CZ113" s="13" t="s">
        <v>303</v>
      </c>
      <c r="DA113" s="13" t="s">
        <v>303</v>
      </c>
    </row>
    <row r="114" spans="45:105" ht="15.75" customHeight="1">
      <c r="AS114" s="13" t="s">
        <v>303</v>
      </c>
      <c r="AU114" s="17"/>
      <c r="AZ114" s="13" t="s">
        <v>303</v>
      </c>
      <c r="BH114" s="13" t="s">
        <v>303</v>
      </c>
      <c r="BJ114" s="13" t="s">
        <v>303</v>
      </c>
      <c r="BK114" s="13" t="s">
        <v>303</v>
      </c>
      <c r="BL114" s="13" t="s">
        <v>303</v>
      </c>
      <c r="BN114" s="13" t="s">
        <v>303</v>
      </c>
      <c r="BO114" s="13" t="s">
        <v>303</v>
      </c>
      <c r="BP114" s="13" t="s">
        <v>303</v>
      </c>
      <c r="BQ114" s="13" t="s">
        <v>303</v>
      </c>
      <c r="BR114" s="13" t="s">
        <v>303</v>
      </c>
      <c r="BS114" s="13" t="s">
        <v>303</v>
      </c>
      <c r="BT114" s="13" t="s">
        <v>303</v>
      </c>
      <c r="BV114" s="13" t="s">
        <v>303</v>
      </c>
      <c r="BW114" s="13" t="s">
        <v>303</v>
      </c>
      <c r="BX114" s="13" t="s">
        <v>303</v>
      </c>
      <c r="CA114" s="13" t="s">
        <v>303</v>
      </c>
      <c r="CB114" s="13" t="s">
        <v>303</v>
      </c>
      <c r="CC114" s="13" t="s">
        <v>303</v>
      </c>
      <c r="CD114" s="13" t="s">
        <v>303</v>
      </c>
      <c r="CE114" s="13" t="s">
        <v>303</v>
      </c>
      <c r="CF114" s="13" t="s">
        <v>303</v>
      </c>
      <c r="CG114" s="13" t="s">
        <v>303</v>
      </c>
      <c r="CH114" s="13" t="s">
        <v>303</v>
      </c>
      <c r="CI114" s="13" t="s">
        <v>303</v>
      </c>
      <c r="CJ114" s="13" t="s">
        <v>303</v>
      </c>
      <c r="CK114" s="13" t="s">
        <v>303</v>
      </c>
      <c r="CL114" s="13" t="s">
        <v>303</v>
      </c>
      <c r="CM114" s="13" t="s">
        <v>303</v>
      </c>
      <c r="CN114" s="13" t="s">
        <v>303</v>
      </c>
      <c r="CP114" s="13" t="s">
        <v>303</v>
      </c>
      <c r="CQ114" s="13" t="s">
        <v>303</v>
      </c>
      <c r="CR114" s="13" t="s">
        <v>303</v>
      </c>
      <c r="CY114" s="13" t="s">
        <v>303</v>
      </c>
      <c r="CZ114" s="13" t="s">
        <v>303</v>
      </c>
      <c r="DA114" s="13" t="s">
        <v>303</v>
      </c>
    </row>
    <row r="115" spans="45:105" ht="15.75" customHeight="1">
      <c r="AS115" s="13" t="s">
        <v>303</v>
      </c>
      <c r="AU115" s="18"/>
      <c r="AZ115" s="13" t="s">
        <v>303</v>
      </c>
      <c r="BH115" s="13" t="s">
        <v>303</v>
      </c>
      <c r="BJ115" s="13" t="s">
        <v>303</v>
      </c>
      <c r="BK115" s="13" t="s">
        <v>303</v>
      </c>
      <c r="BL115" s="13" t="s">
        <v>303</v>
      </c>
      <c r="BN115" s="13" t="s">
        <v>303</v>
      </c>
      <c r="BO115" s="13" t="s">
        <v>303</v>
      </c>
      <c r="BP115" s="13" t="s">
        <v>303</v>
      </c>
      <c r="BQ115" s="13" t="s">
        <v>303</v>
      </c>
      <c r="BR115" s="13" t="s">
        <v>303</v>
      </c>
      <c r="BS115" s="13" t="s">
        <v>303</v>
      </c>
      <c r="BT115" s="13" t="s">
        <v>303</v>
      </c>
      <c r="BV115" s="13" t="s">
        <v>303</v>
      </c>
      <c r="BW115" s="13" t="s">
        <v>303</v>
      </c>
      <c r="BX115" s="13" t="s">
        <v>303</v>
      </c>
      <c r="CA115" s="13" t="s">
        <v>303</v>
      </c>
      <c r="CB115" s="13" t="s">
        <v>303</v>
      </c>
      <c r="CC115" s="13" t="s">
        <v>303</v>
      </c>
      <c r="CD115" s="13" t="s">
        <v>303</v>
      </c>
      <c r="CE115" s="13" t="s">
        <v>303</v>
      </c>
      <c r="CF115" s="13" t="s">
        <v>303</v>
      </c>
      <c r="CG115" s="13" t="s">
        <v>303</v>
      </c>
      <c r="CH115" s="13" t="s">
        <v>303</v>
      </c>
      <c r="CI115" s="13" t="s">
        <v>303</v>
      </c>
      <c r="CJ115" s="13" t="s">
        <v>303</v>
      </c>
      <c r="CK115" s="13" t="s">
        <v>303</v>
      </c>
      <c r="CL115" s="13" t="s">
        <v>303</v>
      </c>
      <c r="CM115" s="13" t="s">
        <v>303</v>
      </c>
      <c r="CN115" s="13" t="s">
        <v>303</v>
      </c>
      <c r="CP115" s="13" t="s">
        <v>303</v>
      </c>
      <c r="CQ115" s="13" t="s">
        <v>303</v>
      </c>
      <c r="CR115" s="13" t="s">
        <v>303</v>
      </c>
      <c r="CY115" s="13" t="s">
        <v>303</v>
      </c>
      <c r="CZ115" s="13" t="s">
        <v>303</v>
      </c>
      <c r="DA115" s="13" t="s">
        <v>303</v>
      </c>
    </row>
    <row r="116" spans="45:105" ht="15.75" customHeight="1">
      <c r="AS116" s="13" t="s">
        <v>303</v>
      </c>
      <c r="AU116" s="17"/>
      <c r="AZ116" s="13" t="s">
        <v>303</v>
      </c>
      <c r="BH116" s="13" t="s">
        <v>303</v>
      </c>
      <c r="BJ116" s="13" t="s">
        <v>303</v>
      </c>
      <c r="BK116" s="13" t="s">
        <v>303</v>
      </c>
      <c r="BL116" s="13" t="s">
        <v>303</v>
      </c>
      <c r="BN116" s="13" t="s">
        <v>303</v>
      </c>
      <c r="BO116" s="13" t="s">
        <v>303</v>
      </c>
      <c r="BP116" s="13" t="s">
        <v>303</v>
      </c>
      <c r="BQ116" s="13" t="s">
        <v>303</v>
      </c>
      <c r="BR116" s="13" t="s">
        <v>303</v>
      </c>
      <c r="BS116" s="13" t="s">
        <v>303</v>
      </c>
      <c r="BT116" s="13" t="s">
        <v>303</v>
      </c>
      <c r="BV116" s="13" t="s">
        <v>303</v>
      </c>
      <c r="BW116" s="13" t="s">
        <v>303</v>
      </c>
      <c r="BX116" s="13" t="s">
        <v>303</v>
      </c>
      <c r="CA116" s="13" t="s">
        <v>303</v>
      </c>
      <c r="CB116" s="13" t="s">
        <v>303</v>
      </c>
      <c r="CC116" s="13" t="s">
        <v>303</v>
      </c>
      <c r="CD116" s="13" t="s">
        <v>303</v>
      </c>
      <c r="CE116" s="13" t="s">
        <v>303</v>
      </c>
      <c r="CF116" s="13" t="s">
        <v>303</v>
      </c>
      <c r="CG116" s="13" t="s">
        <v>303</v>
      </c>
      <c r="CH116" s="13" t="s">
        <v>303</v>
      </c>
      <c r="CI116" s="13" t="s">
        <v>303</v>
      </c>
      <c r="CJ116" s="13" t="s">
        <v>303</v>
      </c>
      <c r="CK116" s="13" t="s">
        <v>303</v>
      </c>
      <c r="CL116" s="13" t="s">
        <v>303</v>
      </c>
      <c r="CM116" s="13" t="s">
        <v>303</v>
      </c>
      <c r="CN116" s="13" t="s">
        <v>303</v>
      </c>
      <c r="CP116" s="13" t="s">
        <v>303</v>
      </c>
      <c r="CQ116" s="13" t="s">
        <v>303</v>
      </c>
      <c r="CR116" s="13" t="s">
        <v>303</v>
      </c>
      <c r="CY116" s="13" t="s">
        <v>303</v>
      </c>
      <c r="CZ116" s="13" t="s">
        <v>303</v>
      </c>
      <c r="DA116" s="13" t="s">
        <v>303</v>
      </c>
    </row>
    <row r="117" spans="45:105" ht="15.75" customHeight="1">
      <c r="AS117" s="13" t="s">
        <v>303</v>
      </c>
      <c r="AU117" s="17"/>
      <c r="AZ117" s="13" t="s">
        <v>303</v>
      </c>
      <c r="BH117" s="13" t="s">
        <v>303</v>
      </c>
      <c r="BJ117" s="13" t="s">
        <v>303</v>
      </c>
      <c r="BK117" s="13" t="s">
        <v>303</v>
      </c>
      <c r="BL117" s="13" t="s">
        <v>303</v>
      </c>
      <c r="BN117" s="13" t="s">
        <v>303</v>
      </c>
      <c r="BO117" s="13" t="s">
        <v>303</v>
      </c>
      <c r="BP117" s="13" t="s">
        <v>303</v>
      </c>
      <c r="BQ117" s="13" t="s">
        <v>303</v>
      </c>
      <c r="BR117" s="13" t="s">
        <v>303</v>
      </c>
      <c r="BS117" s="13" t="s">
        <v>303</v>
      </c>
      <c r="BT117" s="13" t="s">
        <v>303</v>
      </c>
      <c r="BV117" s="13" t="s">
        <v>303</v>
      </c>
      <c r="BW117" s="13" t="s">
        <v>303</v>
      </c>
      <c r="BX117" s="13" t="s">
        <v>303</v>
      </c>
      <c r="CA117" s="13" t="s">
        <v>303</v>
      </c>
      <c r="CB117" s="13" t="s">
        <v>303</v>
      </c>
      <c r="CC117" s="13" t="s">
        <v>303</v>
      </c>
      <c r="CD117" s="13" t="s">
        <v>303</v>
      </c>
      <c r="CE117" s="13" t="s">
        <v>303</v>
      </c>
      <c r="CF117" s="13" t="s">
        <v>303</v>
      </c>
      <c r="CG117" s="13" t="s">
        <v>303</v>
      </c>
      <c r="CH117" s="13" t="s">
        <v>303</v>
      </c>
      <c r="CI117" s="13" t="s">
        <v>303</v>
      </c>
      <c r="CJ117" s="13" t="s">
        <v>303</v>
      </c>
      <c r="CK117" s="13" t="s">
        <v>303</v>
      </c>
      <c r="CL117" s="13" t="s">
        <v>303</v>
      </c>
      <c r="CM117" s="13" t="s">
        <v>303</v>
      </c>
      <c r="CN117" s="13" t="s">
        <v>303</v>
      </c>
      <c r="CP117" s="13" t="s">
        <v>303</v>
      </c>
      <c r="CQ117" s="13" t="s">
        <v>303</v>
      </c>
      <c r="CR117" s="13" t="s">
        <v>303</v>
      </c>
      <c r="CY117" s="13" t="s">
        <v>303</v>
      </c>
      <c r="CZ117" s="13" t="s">
        <v>303</v>
      </c>
      <c r="DA117" s="13" t="s">
        <v>303</v>
      </c>
    </row>
    <row r="118" spans="45:105" ht="15.75" customHeight="1">
      <c r="AS118" s="13" t="s">
        <v>303</v>
      </c>
      <c r="AU118" s="17"/>
      <c r="AZ118" s="13" t="s">
        <v>303</v>
      </c>
      <c r="BH118" s="13" t="s">
        <v>303</v>
      </c>
      <c r="BJ118" s="13" t="s">
        <v>303</v>
      </c>
      <c r="BK118" s="13" t="s">
        <v>303</v>
      </c>
      <c r="BL118" s="13" t="s">
        <v>303</v>
      </c>
      <c r="BN118" s="13" t="s">
        <v>303</v>
      </c>
      <c r="BO118" s="13" t="s">
        <v>303</v>
      </c>
      <c r="BP118" s="13" t="s">
        <v>303</v>
      </c>
      <c r="BQ118" s="13" t="s">
        <v>303</v>
      </c>
      <c r="BR118" s="13" t="s">
        <v>303</v>
      </c>
      <c r="BS118" s="13" t="s">
        <v>303</v>
      </c>
      <c r="BT118" s="13" t="s">
        <v>303</v>
      </c>
      <c r="BV118" s="13" t="s">
        <v>303</v>
      </c>
      <c r="BW118" s="13" t="s">
        <v>303</v>
      </c>
      <c r="BX118" s="13" t="s">
        <v>303</v>
      </c>
      <c r="CA118" s="13" t="s">
        <v>303</v>
      </c>
      <c r="CB118" s="13" t="s">
        <v>303</v>
      </c>
      <c r="CC118" s="13" t="s">
        <v>303</v>
      </c>
      <c r="CD118" s="13" t="s">
        <v>303</v>
      </c>
      <c r="CE118" s="13" t="s">
        <v>303</v>
      </c>
      <c r="CF118" s="13" t="s">
        <v>303</v>
      </c>
      <c r="CG118" s="13" t="s">
        <v>303</v>
      </c>
      <c r="CH118" s="13" t="s">
        <v>303</v>
      </c>
      <c r="CI118" s="13" t="s">
        <v>303</v>
      </c>
      <c r="CJ118" s="13" t="s">
        <v>303</v>
      </c>
      <c r="CK118" s="13" t="s">
        <v>303</v>
      </c>
      <c r="CL118" s="13" t="s">
        <v>303</v>
      </c>
      <c r="CM118" s="13" t="s">
        <v>303</v>
      </c>
      <c r="CN118" s="13" t="s">
        <v>303</v>
      </c>
      <c r="CP118" s="13" t="s">
        <v>303</v>
      </c>
      <c r="CQ118" s="13" t="s">
        <v>303</v>
      </c>
      <c r="CR118" s="13" t="s">
        <v>303</v>
      </c>
      <c r="CY118" s="13" t="s">
        <v>303</v>
      </c>
      <c r="CZ118" s="13" t="s">
        <v>303</v>
      </c>
      <c r="DA118" s="13" t="s">
        <v>303</v>
      </c>
    </row>
    <row r="119" spans="45:105" ht="15.75" customHeight="1">
      <c r="AS119" s="13" t="s">
        <v>303</v>
      </c>
      <c r="AU119" s="17"/>
      <c r="AZ119" s="13" t="s">
        <v>303</v>
      </c>
      <c r="BH119" s="13" t="s">
        <v>303</v>
      </c>
      <c r="BJ119" s="13" t="s">
        <v>303</v>
      </c>
      <c r="BK119" s="13" t="s">
        <v>303</v>
      </c>
      <c r="BL119" s="13" t="s">
        <v>303</v>
      </c>
      <c r="BN119" s="13" t="s">
        <v>303</v>
      </c>
      <c r="BO119" s="13" t="s">
        <v>303</v>
      </c>
      <c r="BP119" s="13" t="s">
        <v>303</v>
      </c>
      <c r="BQ119" s="13" t="s">
        <v>303</v>
      </c>
      <c r="BR119" s="13" t="s">
        <v>303</v>
      </c>
      <c r="BS119" s="13" t="s">
        <v>303</v>
      </c>
      <c r="BT119" s="13" t="s">
        <v>303</v>
      </c>
      <c r="BV119" s="13" t="s">
        <v>303</v>
      </c>
      <c r="BW119" s="13" t="s">
        <v>303</v>
      </c>
      <c r="BX119" s="13" t="s">
        <v>303</v>
      </c>
      <c r="CA119" s="13" t="s">
        <v>303</v>
      </c>
      <c r="CB119" s="13" t="s">
        <v>303</v>
      </c>
      <c r="CC119" s="13" t="s">
        <v>303</v>
      </c>
      <c r="CD119" s="13" t="s">
        <v>303</v>
      </c>
      <c r="CE119" s="13" t="s">
        <v>303</v>
      </c>
      <c r="CF119" s="13" t="s">
        <v>303</v>
      </c>
      <c r="CG119" s="13" t="s">
        <v>303</v>
      </c>
      <c r="CH119" s="13" t="s">
        <v>303</v>
      </c>
      <c r="CI119" s="13" t="s">
        <v>303</v>
      </c>
      <c r="CJ119" s="13" t="s">
        <v>303</v>
      </c>
      <c r="CK119" s="13" t="s">
        <v>303</v>
      </c>
      <c r="CL119" s="13" t="s">
        <v>303</v>
      </c>
      <c r="CM119" s="13" t="s">
        <v>303</v>
      </c>
      <c r="CN119" s="13" t="s">
        <v>303</v>
      </c>
      <c r="CP119" s="13" t="s">
        <v>303</v>
      </c>
      <c r="CQ119" s="13" t="s">
        <v>303</v>
      </c>
      <c r="CR119" s="13" t="s">
        <v>303</v>
      </c>
      <c r="CY119" s="13" t="s">
        <v>303</v>
      </c>
      <c r="CZ119" s="13" t="s">
        <v>303</v>
      </c>
      <c r="DA119" s="13" t="s">
        <v>303</v>
      </c>
    </row>
    <row r="120" spans="45:105" ht="15.75" customHeight="1">
      <c r="AS120" s="13" t="s">
        <v>303</v>
      </c>
      <c r="AU120" s="17"/>
      <c r="AZ120" s="13" t="s">
        <v>303</v>
      </c>
      <c r="BH120" s="13" t="s">
        <v>303</v>
      </c>
      <c r="BJ120" s="13" t="s">
        <v>303</v>
      </c>
      <c r="BK120" s="13" t="s">
        <v>303</v>
      </c>
      <c r="BL120" s="13" t="s">
        <v>303</v>
      </c>
      <c r="BN120" s="13" t="s">
        <v>303</v>
      </c>
      <c r="BO120" s="13" t="s">
        <v>303</v>
      </c>
      <c r="BP120" s="13" t="s">
        <v>303</v>
      </c>
      <c r="BQ120" s="13" t="s">
        <v>303</v>
      </c>
      <c r="BR120" s="13" t="s">
        <v>303</v>
      </c>
      <c r="BS120" s="13" t="s">
        <v>303</v>
      </c>
      <c r="BT120" s="13" t="s">
        <v>303</v>
      </c>
      <c r="BV120" s="13" t="s">
        <v>303</v>
      </c>
      <c r="BW120" s="13" t="s">
        <v>303</v>
      </c>
      <c r="BX120" s="13" t="s">
        <v>303</v>
      </c>
      <c r="CA120" s="13" t="s">
        <v>303</v>
      </c>
      <c r="CB120" s="13" t="s">
        <v>303</v>
      </c>
      <c r="CC120" s="13" t="s">
        <v>303</v>
      </c>
      <c r="CD120" s="13" t="s">
        <v>303</v>
      </c>
      <c r="CE120" s="13" t="s">
        <v>303</v>
      </c>
      <c r="CF120" s="13" t="s">
        <v>303</v>
      </c>
      <c r="CG120" s="13" t="s">
        <v>303</v>
      </c>
      <c r="CH120" s="13" t="s">
        <v>303</v>
      </c>
      <c r="CI120" s="13" t="s">
        <v>303</v>
      </c>
      <c r="CJ120" s="13" t="s">
        <v>303</v>
      </c>
      <c r="CK120" s="13" t="s">
        <v>303</v>
      </c>
      <c r="CL120" s="13" t="s">
        <v>303</v>
      </c>
      <c r="CM120" s="13" t="s">
        <v>303</v>
      </c>
      <c r="CN120" s="13" t="s">
        <v>303</v>
      </c>
      <c r="CP120" s="13" t="s">
        <v>303</v>
      </c>
      <c r="CQ120" s="13" t="s">
        <v>303</v>
      </c>
      <c r="CR120" s="13" t="s">
        <v>303</v>
      </c>
      <c r="CY120" s="13" t="s">
        <v>303</v>
      </c>
      <c r="CZ120" s="13" t="s">
        <v>303</v>
      </c>
      <c r="DA120" s="13" t="s">
        <v>303</v>
      </c>
    </row>
    <row r="121" spans="45:105" ht="15.75" customHeight="1">
      <c r="AS121" s="13" t="s">
        <v>303</v>
      </c>
      <c r="AU121" s="18"/>
      <c r="AZ121" s="13" t="s">
        <v>303</v>
      </c>
      <c r="BH121" s="13" t="s">
        <v>303</v>
      </c>
      <c r="BJ121" s="13" t="s">
        <v>303</v>
      </c>
      <c r="BK121" s="13" t="s">
        <v>303</v>
      </c>
      <c r="BL121" s="13" t="s">
        <v>303</v>
      </c>
      <c r="BN121" s="13" t="s">
        <v>303</v>
      </c>
      <c r="BO121" s="13" t="s">
        <v>303</v>
      </c>
      <c r="BP121" s="13" t="s">
        <v>303</v>
      </c>
      <c r="BQ121" s="13" t="s">
        <v>303</v>
      </c>
      <c r="BR121" s="13" t="s">
        <v>303</v>
      </c>
      <c r="BS121" s="13" t="s">
        <v>303</v>
      </c>
      <c r="BT121" s="13" t="s">
        <v>303</v>
      </c>
      <c r="BV121" s="13" t="s">
        <v>303</v>
      </c>
      <c r="BW121" s="13" t="s">
        <v>303</v>
      </c>
      <c r="BX121" s="13" t="s">
        <v>303</v>
      </c>
      <c r="CA121" s="13" t="s">
        <v>303</v>
      </c>
      <c r="CB121" s="13" t="s">
        <v>303</v>
      </c>
      <c r="CC121" s="13" t="s">
        <v>303</v>
      </c>
      <c r="CD121" s="13" t="s">
        <v>303</v>
      </c>
      <c r="CE121" s="13" t="s">
        <v>303</v>
      </c>
      <c r="CF121" s="13" t="s">
        <v>303</v>
      </c>
      <c r="CG121" s="13" t="s">
        <v>303</v>
      </c>
      <c r="CH121" s="13" t="s">
        <v>303</v>
      </c>
      <c r="CI121" s="13" t="s">
        <v>303</v>
      </c>
      <c r="CJ121" s="13" t="s">
        <v>303</v>
      </c>
      <c r="CK121" s="13" t="s">
        <v>303</v>
      </c>
      <c r="CL121" s="13" t="s">
        <v>303</v>
      </c>
      <c r="CM121" s="13" t="s">
        <v>303</v>
      </c>
      <c r="CN121" s="13" t="s">
        <v>303</v>
      </c>
      <c r="CP121" s="13" t="s">
        <v>303</v>
      </c>
      <c r="CQ121" s="13" t="s">
        <v>303</v>
      </c>
      <c r="CR121" s="13" t="s">
        <v>303</v>
      </c>
      <c r="CY121" s="13" t="s">
        <v>303</v>
      </c>
      <c r="CZ121" s="13" t="s">
        <v>303</v>
      </c>
      <c r="DA121" s="13" t="s">
        <v>303</v>
      </c>
    </row>
    <row r="122" spans="45:105" ht="15.75" customHeight="1">
      <c r="AS122" s="13" t="s">
        <v>303</v>
      </c>
      <c r="AU122" s="17"/>
      <c r="AZ122" s="13" t="s">
        <v>303</v>
      </c>
      <c r="BH122" s="13" t="s">
        <v>303</v>
      </c>
      <c r="BJ122" s="13" t="s">
        <v>303</v>
      </c>
      <c r="BK122" s="13" t="s">
        <v>303</v>
      </c>
      <c r="BL122" s="13" t="s">
        <v>303</v>
      </c>
      <c r="BN122" s="13" t="s">
        <v>303</v>
      </c>
      <c r="BO122" s="13" t="s">
        <v>303</v>
      </c>
      <c r="BP122" s="13" t="s">
        <v>303</v>
      </c>
      <c r="BQ122" s="13" t="s">
        <v>303</v>
      </c>
      <c r="BR122" s="13" t="s">
        <v>303</v>
      </c>
      <c r="BS122" s="13" t="s">
        <v>303</v>
      </c>
      <c r="BT122" s="13" t="s">
        <v>303</v>
      </c>
      <c r="BV122" s="13" t="s">
        <v>303</v>
      </c>
      <c r="BW122" s="13" t="s">
        <v>303</v>
      </c>
      <c r="BX122" s="13" t="s">
        <v>303</v>
      </c>
      <c r="CA122" s="13" t="s">
        <v>303</v>
      </c>
      <c r="CB122" s="13" t="s">
        <v>303</v>
      </c>
      <c r="CC122" s="13" t="s">
        <v>303</v>
      </c>
      <c r="CD122" s="13" t="s">
        <v>303</v>
      </c>
      <c r="CE122" s="13" t="s">
        <v>303</v>
      </c>
      <c r="CF122" s="13" t="s">
        <v>303</v>
      </c>
      <c r="CG122" s="13" t="s">
        <v>303</v>
      </c>
      <c r="CH122" s="13" t="s">
        <v>303</v>
      </c>
      <c r="CI122" s="13" t="s">
        <v>303</v>
      </c>
      <c r="CJ122" s="13" t="s">
        <v>303</v>
      </c>
      <c r="CK122" s="13" t="s">
        <v>303</v>
      </c>
      <c r="CL122" s="13" t="s">
        <v>303</v>
      </c>
      <c r="CM122" s="13" t="s">
        <v>303</v>
      </c>
      <c r="CN122" s="13" t="s">
        <v>303</v>
      </c>
      <c r="CP122" s="13" t="s">
        <v>303</v>
      </c>
      <c r="CQ122" s="13" t="s">
        <v>303</v>
      </c>
      <c r="CR122" s="13" t="s">
        <v>303</v>
      </c>
      <c r="CY122" s="13" t="s">
        <v>303</v>
      </c>
      <c r="CZ122" s="13" t="s">
        <v>303</v>
      </c>
      <c r="DA122" s="13" t="s">
        <v>303</v>
      </c>
    </row>
    <row r="123" spans="45:105" ht="15.75" customHeight="1">
      <c r="AS123" s="13" t="s">
        <v>303</v>
      </c>
      <c r="AU123" s="17"/>
      <c r="AZ123" s="13" t="s">
        <v>303</v>
      </c>
      <c r="BH123" s="13" t="s">
        <v>303</v>
      </c>
      <c r="BJ123" s="13" t="s">
        <v>303</v>
      </c>
      <c r="BK123" s="13" t="s">
        <v>303</v>
      </c>
      <c r="BL123" s="13" t="s">
        <v>303</v>
      </c>
      <c r="BN123" s="13" t="s">
        <v>303</v>
      </c>
      <c r="BO123" s="13" t="s">
        <v>303</v>
      </c>
      <c r="BP123" s="13" t="s">
        <v>303</v>
      </c>
      <c r="BQ123" s="13" t="s">
        <v>303</v>
      </c>
      <c r="BR123" s="13" t="s">
        <v>303</v>
      </c>
      <c r="BS123" s="13" t="s">
        <v>303</v>
      </c>
      <c r="BT123" s="13" t="s">
        <v>303</v>
      </c>
      <c r="BV123" s="13" t="s">
        <v>303</v>
      </c>
      <c r="BW123" s="13" t="s">
        <v>303</v>
      </c>
      <c r="BX123" s="13" t="s">
        <v>303</v>
      </c>
      <c r="CA123" s="13" t="s">
        <v>303</v>
      </c>
      <c r="CB123" s="13" t="s">
        <v>303</v>
      </c>
      <c r="CC123" s="13" t="s">
        <v>303</v>
      </c>
      <c r="CD123" s="13" t="s">
        <v>303</v>
      </c>
      <c r="CE123" s="13" t="s">
        <v>303</v>
      </c>
      <c r="CF123" s="13" t="s">
        <v>303</v>
      </c>
      <c r="CG123" s="13" t="s">
        <v>303</v>
      </c>
      <c r="CH123" s="13" t="s">
        <v>303</v>
      </c>
      <c r="CI123" s="13" t="s">
        <v>303</v>
      </c>
      <c r="CJ123" s="13" t="s">
        <v>303</v>
      </c>
      <c r="CK123" s="13" t="s">
        <v>303</v>
      </c>
      <c r="CL123" s="13" t="s">
        <v>303</v>
      </c>
      <c r="CM123" s="13" t="s">
        <v>303</v>
      </c>
      <c r="CN123" s="13" t="s">
        <v>303</v>
      </c>
      <c r="CP123" s="13" t="s">
        <v>303</v>
      </c>
      <c r="CQ123" s="13" t="s">
        <v>303</v>
      </c>
      <c r="CR123" s="13" t="s">
        <v>303</v>
      </c>
      <c r="CY123" s="13" t="s">
        <v>303</v>
      </c>
      <c r="CZ123" s="13" t="s">
        <v>303</v>
      </c>
      <c r="DA123" s="13" t="s">
        <v>303</v>
      </c>
    </row>
    <row r="124" spans="45:105" ht="15.75" customHeight="1">
      <c r="AS124" s="13" t="s">
        <v>303</v>
      </c>
      <c r="AU124" s="17"/>
      <c r="AZ124" s="13" t="s">
        <v>303</v>
      </c>
      <c r="BH124" s="13" t="s">
        <v>303</v>
      </c>
      <c r="BJ124" s="13" t="s">
        <v>303</v>
      </c>
      <c r="BK124" s="13" t="s">
        <v>303</v>
      </c>
      <c r="BL124" s="13" t="s">
        <v>303</v>
      </c>
      <c r="BN124" s="13" t="s">
        <v>303</v>
      </c>
      <c r="BO124" s="13" t="s">
        <v>303</v>
      </c>
      <c r="BP124" s="13" t="s">
        <v>303</v>
      </c>
      <c r="BQ124" s="13" t="s">
        <v>303</v>
      </c>
      <c r="BR124" s="13" t="s">
        <v>303</v>
      </c>
      <c r="BS124" s="13" t="s">
        <v>303</v>
      </c>
      <c r="BT124" s="13" t="s">
        <v>303</v>
      </c>
      <c r="BV124" s="13" t="s">
        <v>303</v>
      </c>
      <c r="BW124" s="13" t="s">
        <v>303</v>
      </c>
      <c r="BX124" s="13" t="s">
        <v>303</v>
      </c>
      <c r="CA124" s="13" t="s">
        <v>303</v>
      </c>
      <c r="CB124" s="13" t="s">
        <v>303</v>
      </c>
      <c r="CC124" s="13" t="s">
        <v>303</v>
      </c>
      <c r="CD124" s="13" t="s">
        <v>303</v>
      </c>
      <c r="CE124" s="13" t="s">
        <v>303</v>
      </c>
      <c r="CF124" s="13" t="s">
        <v>303</v>
      </c>
      <c r="CG124" s="13" t="s">
        <v>303</v>
      </c>
      <c r="CH124" s="13" t="s">
        <v>303</v>
      </c>
      <c r="CI124" s="13" t="s">
        <v>303</v>
      </c>
      <c r="CJ124" s="13" t="s">
        <v>303</v>
      </c>
      <c r="CK124" s="13" t="s">
        <v>303</v>
      </c>
      <c r="CL124" s="13" t="s">
        <v>303</v>
      </c>
      <c r="CM124" s="13" t="s">
        <v>303</v>
      </c>
      <c r="CN124" s="13" t="s">
        <v>303</v>
      </c>
      <c r="CP124" s="13" t="s">
        <v>303</v>
      </c>
      <c r="CQ124" s="13" t="s">
        <v>303</v>
      </c>
      <c r="CR124" s="13" t="s">
        <v>303</v>
      </c>
      <c r="CY124" s="13" t="s">
        <v>303</v>
      </c>
      <c r="CZ124" s="13" t="s">
        <v>303</v>
      </c>
      <c r="DA124" s="13" t="s">
        <v>303</v>
      </c>
    </row>
    <row r="125" spans="45:105" ht="15.75" customHeight="1">
      <c r="AS125" s="13" t="s">
        <v>303</v>
      </c>
      <c r="AU125" s="17"/>
      <c r="AZ125" s="13" t="s">
        <v>303</v>
      </c>
      <c r="BH125" s="13" t="s">
        <v>303</v>
      </c>
      <c r="BJ125" s="13" t="s">
        <v>303</v>
      </c>
      <c r="BK125" s="13" t="s">
        <v>303</v>
      </c>
      <c r="BL125" s="13" t="s">
        <v>303</v>
      </c>
      <c r="BN125" s="13" t="s">
        <v>303</v>
      </c>
      <c r="BO125" s="13" t="s">
        <v>303</v>
      </c>
      <c r="BP125" s="13" t="s">
        <v>303</v>
      </c>
      <c r="BQ125" s="13" t="s">
        <v>303</v>
      </c>
      <c r="BR125" s="13" t="s">
        <v>303</v>
      </c>
      <c r="BS125" s="13" t="s">
        <v>303</v>
      </c>
      <c r="BT125" s="13" t="s">
        <v>303</v>
      </c>
      <c r="BV125" s="13" t="s">
        <v>303</v>
      </c>
      <c r="BW125" s="13" t="s">
        <v>303</v>
      </c>
      <c r="BX125" s="13" t="s">
        <v>303</v>
      </c>
      <c r="CA125" s="13" t="s">
        <v>303</v>
      </c>
      <c r="CB125" s="13" t="s">
        <v>303</v>
      </c>
      <c r="CC125" s="13" t="s">
        <v>303</v>
      </c>
      <c r="CD125" s="13" t="s">
        <v>303</v>
      </c>
      <c r="CE125" s="13" t="s">
        <v>303</v>
      </c>
      <c r="CF125" s="13" t="s">
        <v>303</v>
      </c>
      <c r="CG125" s="13" t="s">
        <v>303</v>
      </c>
      <c r="CH125" s="13" t="s">
        <v>303</v>
      </c>
      <c r="CI125" s="13" t="s">
        <v>303</v>
      </c>
      <c r="CJ125" s="13" t="s">
        <v>303</v>
      </c>
      <c r="CK125" s="13" t="s">
        <v>303</v>
      </c>
      <c r="CL125" s="13" t="s">
        <v>303</v>
      </c>
      <c r="CM125" s="13" t="s">
        <v>303</v>
      </c>
      <c r="CN125" s="13" t="s">
        <v>303</v>
      </c>
      <c r="CP125" s="13" t="s">
        <v>303</v>
      </c>
      <c r="CQ125" s="13" t="s">
        <v>303</v>
      </c>
      <c r="CR125" s="13" t="s">
        <v>303</v>
      </c>
      <c r="CY125" s="13" t="s">
        <v>303</v>
      </c>
      <c r="CZ125" s="13" t="s">
        <v>303</v>
      </c>
      <c r="DA125" s="13" t="s">
        <v>303</v>
      </c>
    </row>
    <row r="126" spans="45:105" ht="15.75" customHeight="1">
      <c r="AS126" s="13" t="s">
        <v>303</v>
      </c>
      <c r="AU126" s="17"/>
      <c r="AZ126" s="13" t="s">
        <v>303</v>
      </c>
      <c r="BH126" s="13" t="s">
        <v>303</v>
      </c>
      <c r="BJ126" s="13" t="s">
        <v>303</v>
      </c>
      <c r="BK126" s="13" t="s">
        <v>303</v>
      </c>
      <c r="BL126" s="13" t="s">
        <v>303</v>
      </c>
      <c r="BN126" s="13" t="s">
        <v>303</v>
      </c>
      <c r="BO126" s="13" t="s">
        <v>303</v>
      </c>
      <c r="BP126" s="13" t="s">
        <v>303</v>
      </c>
      <c r="BQ126" s="13" t="s">
        <v>303</v>
      </c>
      <c r="BR126" s="13" t="s">
        <v>303</v>
      </c>
      <c r="BS126" s="13" t="s">
        <v>303</v>
      </c>
      <c r="BT126" s="13" t="s">
        <v>303</v>
      </c>
      <c r="BV126" s="13" t="s">
        <v>303</v>
      </c>
      <c r="BW126" s="13" t="s">
        <v>303</v>
      </c>
      <c r="BX126" s="13" t="s">
        <v>303</v>
      </c>
      <c r="CA126" s="13" t="s">
        <v>303</v>
      </c>
      <c r="CB126" s="13" t="s">
        <v>303</v>
      </c>
      <c r="CC126" s="13" t="s">
        <v>303</v>
      </c>
      <c r="CD126" s="13" t="s">
        <v>303</v>
      </c>
      <c r="CE126" s="13" t="s">
        <v>303</v>
      </c>
      <c r="CF126" s="13" t="s">
        <v>303</v>
      </c>
      <c r="CG126" s="13" t="s">
        <v>303</v>
      </c>
      <c r="CH126" s="13" t="s">
        <v>303</v>
      </c>
      <c r="CI126" s="13" t="s">
        <v>303</v>
      </c>
      <c r="CJ126" s="13" t="s">
        <v>303</v>
      </c>
      <c r="CK126" s="13" t="s">
        <v>303</v>
      </c>
      <c r="CL126" s="13" t="s">
        <v>303</v>
      </c>
      <c r="CM126" s="13" t="s">
        <v>303</v>
      </c>
      <c r="CN126" s="13" t="s">
        <v>303</v>
      </c>
      <c r="CP126" s="13" t="s">
        <v>303</v>
      </c>
      <c r="CQ126" s="13" t="s">
        <v>303</v>
      </c>
      <c r="CR126" s="13" t="s">
        <v>303</v>
      </c>
      <c r="CY126" s="13" t="s">
        <v>303</v>
      </c>
      <c r="CZ126" s="13" t="s">
        <v>303</v>
      </c>
      <c r="DA126" s="13" t="s">
        <v>303</v>
      </c>
    </row>
    <row r="127" spans="45:105" ht="15.75" customHeight="1">
      <c r="AS127" s="13" t="s">
        <v>303</v>
      </c>
      <c r="AU127" s="17"/>
      <c r="AZ127" s="13" t="s">
        <v>303</v>
      </c>
      <c r="BH127" s="13" t="s">
        <v>303</v>
      </c>
      <c r="BJ127" s="13" t="s">
        <v>303</v>
      </c>
      <c r="BK127" s="13" t="s">
        <v>303</v>
      </c>
      <c r="BL127" s="13" t="s">
        <v>303</v>
      </c>
      <c r="BN127" s="13" t="s">
        <v>303</v>
      </c>
      <c r="BO127" s="13" t="s">
        <v>303</v>
      </c>
      <c r="BP127" s="13" t="s">
        <v>303</v>
      </c>
      <c r="BQ127" s="13" t="s">
        <v>303</v>
      </c>
      <c r="BR127" s="13" t="s">
        <v>303</v>
      </c>
      <c r="BS127" s="13" t="s">
        <v>303</v>
      </c>
      <c r="BT127" s="13" t="s">
        <v>303</v>
      </c>
      <c r="BV127" s="13" t="s">
        <v>303</v>
      </c>
      <c r="BW127" s="13" t="s">
        <v>303</v>
      </c>
      <c r="BX127" s="13" t="s">
        <v>303</v>
      </c>
      <c r="CA127" s="13" t="s">
        <v>303</v>
      </c>
      <c r="CB127" s="13" t="s">
        <v>303</v>
      </c>
      <c r="CC127" s="13" t="s">
        <v>303</v>
      </c>
      <c r="CD127" s="13" t="s">
        <v>303</v>
      </c>
      <c r="CE127" s="13" t="s">
        <v>303</v>
      </c>
      <c r="CF127" s="13" t="s">
        <v>303</v>
      </c>
      <c r="CG127" s="13" t="s">
        <v>303</v>
      </c>
      <c r="CH127" s="13" t="s">
        <v>303</v>
      </c>
      <c r="CI127" s="13" t="s">
        <v>303</v>
      </c>
      <c r="CJ127" s="13" t="s">
        <v>303</v>
      </c>
      <c r="CK127" s="13" t="s">
        <v>303</v>
      </c>
      <c r="CL127" s="13" t="s">
        <v>303</v>
      </c>
      <c r="CM127" s="13" t="s">
        <v>303</v>
      </c>
      <c r="CN127" s="13" t="s">
        <v>303</v>
      </c>
      <c r="CP127" s="13" t="s">
        <v>303</v>
      </c>
      <c r="CQ127" s="13" t="s">
        <v>303</v>
      </c>
      <c r="CR127" s="13" t="s">
        <v>303</v>
      </c>
      <c r="CY127" s="13" t="s">
        <v>303</v>
      </c>
      <c r="CZ127" s="13" t="s">
        <v>303</v>
      </c>
      <c r="DA127" s="13" t="s">
        <v>303</v>
      </c>
    </row>
    <row r="128" spans="45:105" ht="15.75" customHeight="1">
      <c r="AS128" s="13" t="s">
        <v>303</v>
      </c>
      <c r="AU128" s="18"/>
      <c r="AZ128" s="13" t="s">
        <v>303</v>
      </c>
      <c r="BH128" s="13" t="s">
        <v>303</v>
      </c>
      <c r="BJ128" s="13" t="s">
        <v>303</v>
      </c>
      <c r="BK128" s="13" t="s">
        <v>303</v>
      </c>
      <c r="BL128" s="13" t="s">
        <v>303</v>
      </c>
      <c r="BN128" s="13" t="s">
        <v>303</v>
      </c>
      <c r="BO128" s="13" t="s">
        <v>303</v>
      </c>
      <c r="BP128" s="13" t="s">
        <v>303</v>
      </c>
      <c r="BQ128" s="13" t="s">
        <v>303</v>
      </c>
      <c r="BR128" s="13" t="s">
        <v>303</v>
      </c>
      <c r="BS128" s="13" t="s">
        <v>303</v>
      </c>
      <c r="BT128" s="13" t="s">
        <v>303</v>
      </c>
      <c r="BV128" s="13" t="s">
        <v>303</v>
      </c>
      <c r="BW128" s="13" t="s">
        <v>303</v>
      </c>
      <c r="BX128" s="13" t="s">
        <v>303</v>
      </c>
      <c r="CA128" s="13" t="s">
        <v>303</v>
      </c>
      <c r="CB128" s="13" t="s">
        <v>303</v>
      </c>
      <c r="CC128" s="13" t="s">
        <v>303</v>
      </c>
      <c r="CD128" s="13" t="s">
        <v>303</v>
      </c>
      <c r="CE128" s="13" t="s">
        <v>303</v>
      </c>
      <c r="CF128" s="13" t="s">
        <v>303</v>
      </c>
      <c r="CG128" s="13" t="s">
        <v>303</v>
      </c>
      <c r="CH128" s="13" t="s">
        <v>303</v>
      </c>
      <c r="CI128" s="13" t="s">
        <v>303</v>
      </c>
      <c r="CJ128" s="13" t="s">
        <v>303</v>
      </c>
      <c r="CK128" s="13" t="s">
        <v>303</v>
      </c>
      <c r="CL128" s="13" t="s">
        <v>303</v>
      </c>
      <c r="CM128" s="13" t="s">
        <v>303</v>
      </c>
      <c r="CN128" s="13" t="s">
        <v>303</v>
      </c>
      <c r="CP128" s="13" t="s">
        <v>303</v>
      </c>
      <c r="CQ128" s="13" t="s">
        <v>303</v>
      </c>
      <c r="CR128" s="13" t="s">
        <v>303</v>
      </c>
      <c r="CY128" s="13" t="s">
        <v>303</v>
      </c>
      <c r="CZ128" s="13" t="s">
        <v>303</v>
      </c>
      <c r="DA128" s="13" t="s">
        <v>303</v>
      </c>
    </row>
    <row r="129" spans="45:105" ht="15.75" customHeight="1">
      <c r="AS129" s="13" t="s">
        <v>303</v>
      </c>
      <c r="AU129" s="17"/>
      <c r="AZ129" s="13" t="s">
        <v>303</v>
      </c>
      <c r="BH129" s="13" t="s">
        <v>303</v>
      </c>
      <c r="BJ129" s="13" t="s">
        <v>303</v>
      </c>
      <c r="BK129" s="13" t="s">
        <v>303</v>
      </c>
      <c r="BL129" s="13" t="s">
        <v>303</v>
      </c>
      <c r="BN129" s="13" t="s">
        <v>303</v>
      </c>
      <c r="BO129" s="13" t="s">
        <v>303</v>
      </c>
      <c r="BP129" s="13" t="s">
        <v>303</v>
      </c>
      <c r="BQ129" s="13" t="s">
        <v>303</v>
      </c>
      <c r="BR129" s="13" t="s">
        <v>303</v>
      </c>
      <c r="BS129" s="13" t="s">
        <v>303</v>
      </c>
      <c r="BT129" s="13" t="s">
        <v>303</v>
      </c>
      <c r="BV129" s="13" t="s">
        <v>303</v>
      </c>
      <c r="BW129" s="13" t="s">
        <v>303</v>
      </c>
      <c r="BX129" s="13" t="s">
        <v>303</v>
      </c>
      <c r="CA129" s="13" t="s">
        <v>303</v>
      </c>
      <c r="CB129" s="13" t="s">
        <v>303</v>
      </c>
      <c r="CC129" s="13" t="s">
        <v>303</v>
      </c>
      <c r="CD129" s="13" t="s">
        <v>303</v>
      </c>
      <c r="CE129" s="13" t="s">
        <v>303</v>
      </c>
      <c r="CF129" s="13" t="s">
        <v>303</v>
      </c>
      <c r="CG129" s="13" t="s">
        <v>303</v>
      </c>
      <c r="CH129" s="13" t="s">
        <v>303</v>
      </c>
      <c r="CI129" s="13" t="s">
        <v>303</v>
      </c>
      <c r="CJ129" s="13" t="s">
        <v>303</v>
      </c>
      <c r="CK129" s="13" t="s">
        <v>303</v>
      </c>
      <c r="CL129" s="13" t="s">
        <v>303</v>
      </c>
      <c r="CM129" s="13" t="s">
        <v>303</v>
      </c>
      <c r="CN129" s="13" t="s">
        <v>303</v>
      </c>
      <c r="CP129" s="13" t="s">
        <v>303</v>
      </c>
      <c r="CQ129" s="13" t="s">
        <v>303</v>
      </c>
      <c r="CR129" s="13" t="s">
        <v>303</v>
      </c>
      <c r="CY129" s="13" t="s">
        <v>303</v>
      </c>
      <c r="CZ129" s="13" t="s">
        <v>303</v>
      </c>
      <c r="DA129" s="13" t="s">
        <v>303</v>
      </c>
    </row>
    <row r="130" spans="45:105" ht="15.75" customHeight="1">
      <c r="AS130" s="13" t="s">
        <v>303</v>
      </c>
      <c r="AU130" s="17"/>
      <c r="AZ130" s="13" t="s">
        <v>303</v>
      </c>
      <c r="BH130" s="13" t="s">
        <v>303</v>
      </c>
      <c r="BJ130" s="13" t="s">
        <v>303</v>
      </c>
      <c r="BK130" s="13" t="s">
        <v>303</v>
      </c>
      <c r="BL130" s="13" t="s">
        <v>303</v>
      </c>
      <c r="BN130" s="13" t="s">
        <v>303</v>
      </c>
      <c r="BO130" s="13" t="s">
        <v>303</v>
      </c>
      <c r="BP130" s="13" t="s">
        <v>303</v>
      </c>
      <c r="BQ130" s="13" t="s">
        <v>303</v>
      </c>
      <c r="BR130" s="13" t="s">
        <v>303</v>
      </c>
      <c r="BS130" s="13" t="s">
        <v>303</v>
      </c>
      <c r="BT130" s="13" t="s">
        <v>303</v>
      </c>
      <c r="BV130" s="13" t="s">
        <v>303</v>
      </c>
      <c r="BW130" s="13" t="s">
        <v>303</v>
      </c>
      <c r="BX130" s="13" t="s">
        <v>303</v>
      </c>
      <c r="CA130" s="13" t="s">
        <v>303</v>
      </c>
      <c r="CB130" s="13" t="s">
        <v>303</v>
      </c>
      <c r="CC130" s="13" t="s">
        <v>303</v>
      </c>
      <c r="CD130" s="13" t="s">
        <v>303</v>
      </c>
      <c r="CE130" s="13" t="s">
        <v>303</v>
      </c>
      <c r="CF130" s="13" t="s">
        <v>303</v>
      </c>
      <c r="CG130" s="13" t="s">
        <v>303</v>
      </c>
      <c r="CH130" s="13" t="s">
        <v>303</v>
      </c>
      <c r="CI130" s="13" t="s">
        <v>303</v>
      </c>
      <c r="CJ130" s="13" t="s">
        <v>303</v>
      </c>
      <c r="CK130" s="13" t="s">
        <v>303</v>
      </c>
      <c r="CL130" s="13" t="s">
        <v>303</v>
      </c>
      <c r="CM130" s="13" t="s">
        <v>303</v>
      </c>
      <c r="CN130" s="13" t="s">
        <v>303</v>
      </c>
      <c r="CP130" s="13" t="s">
        <v>303</v>
      </c>
      <c r="CQ130" s="13" t="s">
        <v>303</v>
      </c>
      <c r="CR130" s="13" t="s">
        <v>303</v>
      </c>
      <c r="CY130" s="13" t="s">
        <v>303</v>
      </c>
      <c r="CZ130" s="13" t="s">
        <v>303</v>
      </c>
      <c r="DA130" s="13" t="s">
        <v>303</v>
      </c>
    </row>
    <row r="131" spans="45:105" ht="15.75" customHeight="1">
      <c r="AS131" s="13" t="s">
        <v>303</v>
      </c>
      <c r="AU131" s="17"/>
      <c r="AZ131" s="13" t="s">
        <v>303</v>
      </c>
      <c r="BH131" s="13" t="s">
        <v>303</v>
      </c>
      <c r="BJ131" s="13" t="s">
        <v>303</v>
      </c>
      <c r="BK131" s="13" t="s">
        <v>303</v>
      </c>
      <c r="BL131" s="13" t="s">
        <v>303</v>
      </c>
      <c r="BN131" s="13" t="s">
        <v>303</v>
      </c>
      <c r="BO131" s="13" t="s">
        <v>303</v>
      </c>
      <c r="BP131" s="13" t="s">
        <v>303</v>
      </c>
      <c r="BQ131" s="13" t="s">
        <v>303</v>
      </c>
      <c r="BR131" s="13" t="s">
        <v>303</v>
      </c>
      <c r="BS131" s="13" t="s">
        <v>303</v>
      </c>
      <c r="BT131" s="13" t="s">
        <v>303</v>
      </c>
      <c r="BV131" s="13" t="s">
        <v>303</v>
      </c>
      <c r="BW131" s="13" t="s">
        <v>303</v>
      </c>
      <c r="BX131" s="13" t="s">
        <v>303</v>
      </c>
      <c r="CA131" s="13" t="s">
        <v>303</v>
      </c>
      <c r="CB131" s="13" t="s">
        <v>303</v>
      </c>
      <c r="CC131" s="13" t="s">
        <v>303</v>
      </c>
      <c r="CD131" s="13" t="s">
        <v>303</v>
      </c>
      <c r="CE131" s="13" t="s">
        <v>303</v>
      </c>
      <c r="CF131" s="13" t="s">
        <v>303</v>
      </c>
      <c r="CG131" s="13" t="s">
        <v>303</v>
      </c>
      <c r="CH131" s="13" t="s">
        <v>303</v>
      </c>
      <c r="CI131" s="13" t="s">
        <v>303</v>
      </c>
      <c r="CJ131" s="13" t="s">
        <v>303</v>
      </c>
      <c r="CK131" s="13" t="s">
        <v>303</v>
      </c>
      <c r="CL131" s="13" t="s">
        <v>303</v>
      </c>
      <c r="CM131" s="13" t="s">
        <v>303</v>
      </c>
      <c r="CN131" s="13" t="s">
        <v>303</v>
      </c>
      <c r="CP131" s="13" t="s">
        <v>303</v>
      </c>
      <c r="CQ131" s="13" t="s">
        <v>303</v>
      </c>
      <c r="CR131" s="13" t="s">
        <v>303</v>
      </c>
      <c r="CY131" s="13" t="s">
        <v>303</v>
      </c>
      <c r="CZ131" s="13" t="s">
        <v>303</v>
      </c>
      <c r="DA131" s="13" t="s">
        <v>303</v>
      </c>
    </row>
    <row r="132" spans="45:105" ht="15.75" customHeight="1">
      <c r="AS132" s="13" t="s">
        <v>303</v>
      </c>
      <c r="AU132" s="17"/>
      <c r="AZ132" s="13" t="s">
        <v>303</v>
      </c>
      <c r="BH132" s="13" t="s">
        <v>303</v>
      </c>
      <c r="BJ132" s="13" t="s">
        <v>303</v>
      </c>
      <c r="BK132" s="13" t="s">
        <v>303</v>
      </c>
      <c r="BL132" s="13" t="s">
        <v>303</v>
      </c>
      <c r="BN132" s="13" t="s">
        <v>303</v>
      </c>
      <c r="BO132" s="13" t="s">
        <v>303</v>
      </c>
      <c r="BP132" s="13" t="s">
        <v>303</v>
      </c>
      <c r="BQ132" s="13" t="s">
        <v>303</v>
      </c>
      <c r="BR132" s="13" t="s">
        <v>303</v>
      </c>
      <c r="BS132" s="13" t="s">
        <v>303</v>
      </c>
      <c r="BT132" s="13" t="s">
        <v>303</v>
      </c>
      <c r="BV132" s="13" t="s">
        <v>303</v>
      </c>
      <c r="BW132" s="13" t="s">
        <v>303</v>
      </c>
      <c r="BX132" s="13" t="s">
        <v>303</v>
      </c>
      <c r="CA132" s="13" t="s">
        <v>303</v>
      </c>
      <c r="CB132" s="13" t="s">
        <v>303</v>
      </c>
      <c r="CC132" s="13" t="s">
        <v>303</v>
      </c>
      <c r="CD132" s="13" t="s">
        <v>303</v>
      </c>
      <c r="CE132" s="13" t="s">
        <v>303</v>
      </c>
      <c r="CF132" s="13" t="s">
        <v>303</v>
      </c>
      <c r="CG132" s="13" t="s">
        <v>303</v>
      </c>
      <c r="CH132" s="13" t="s">
        <v>303</v>
      </c>
      <c r="CI132" s="13" t="s">
        <v>303</v>
      </c>
      <c r="CJ132" s="13" t="s">
        <v>303</v>
      </c>
      <c r="CK132" s="13" t="s">
        <v>303</v>
      </c>
      <c r="CL132" s="13" t="s">
        <v>303</v>
      </c>
      <c r="CM132" s="13" t="s">
        <v>303</v>
      </c>
      <c r="CN132" s="13" t="s">
        <v>303</v>
      </c>
      <c r="CP132" s="13" t="s">
        <v>303</v>
      </c>
      <c r="CQ132" s="13" t="s">
        <v>303</v>
      </c>
      <c r="CR132" s="13" t="s">
        <v>303</v>
      </c>
      <c r="CY132" s="13" t="s">
        <v>303</v>
      </c>
      <c r="CZ132" s="13" t="s">
        <v>303</v>
      </c>
      <c r="DA132" s="13" t="s">
        <v>303</v>
      </c>
    </row>
    <row r="133" spans="45:105" ht="15.75" customHeight="1">
      <c r="AS133" s="13" t="s">
        <v>303</v>
      </c>
      <c r="AU133" s="18"/>
      <c r="AZ133" s="13" t="s">
        <v>303</v>
      </c>
      <c r="BH133" s="13" t="s">
        <v>303</v>
      </c>
      <c r="BJ133" s="13" t="s">
        <v>303</v>
      </c>
      <c r="BK133" s="13" t="s">
        <v>303</v>
      </c>
      <c r="BL133" s="13" t="s">
        <v>303</v>
      </c>
      <c r="BN133" s="13" t="s">
        <v>303</v>
      </c>
      <c r="BO133" s="13" t="s">
        <v>303</v>
      </c>
      <c r="BP133" s="13" t="s">
        <v>303</v>
      </c>
      <c r="BQ133" s="13" t="s">
        <v>303</v>
      </c>
      <c r="BR133" s="13" t="s">
        <v>303</v>
      </c>
      <c r="BS133" s="13" t="s">
        <v>303</v>
      </c>
      <c r="BT133" s="13" t="s">
        <v>303</v>
      </c>
      <c r="BV133" s="13" t="s">
        <v>303</v>
      </c>
      <c r="BW133" s="13" t="s">
        <v>303</v>
      </c>
      <c r="BX133" s="13" t="s">
        <v>303</v>
      </c>
      <c r="CA133" s="13" t="s">
        <v>303</v>
      </c>
      <c r="CB133" s="13" t="s">
        <v>303</v>
      </c>
      <c r="CC133" s="13" t="s">
        <v>303</v>
      </c>
      <c r="CD133" s="13" t="s">
        <v>303</v>
      </c>
      <c r="CE133" s="13" t="s">
        <v>303</v>
      </c>
      <c r="CF133" s="13" t="s">
        <v>303</v>
      </c>
      <c r="CG133" s="13" t="s">
        <v>303</v>
      </c>
      <c r="CH133" s="13" t="s">
        <v>303</v>
      </c>
      <c r="CI133" s="13" t="s">
        <v>303</v>
      </c>
      <c r="CJ133" s="13" t="s">
        <v>303</v>
      </c>
      <c r="CK133" s="13" t="s">
        <v>303</v>
      </c>
      <c r="CL133" s="13" t="s">
        <v>303</v>
      </c>
      <c r="CM133" s="13" t="s">
        <v>303</v>
      </c>
      <c r="CN133" s="13" t="s">
        <v>303</v>
      </c>
      <c r="CP133" s="13" t="s">
        <v>303</v>
      </c>
      <c r="CQ133" s="13" t="s">
        <v>303</v>
      </c>
      <c r="CR133" s="13" t="s">
        <v>303</v>
      </c>
      <c r="CY133" s="13" t="s">
        <v>303</v>
      </c>
      <c r="CZ133" s="13" t="s">
        <v>303</v>
      </c>
      <c r="DA133" s="13" t="s">
        <v>303</v>
      </c>
    </row>
    <row r="134" spans="45:105" ht="15.75" customHeight="1">
      <c r="AS134" s="13" t="s">
        <v>303</v>
      </c>
      <c r="AU134" s="17"/>
      <c r="AZ134" s="13" t="s">
        <v>303</v>
      </c>
      <c r="BH134" s="13" t="s">
        <v>303</v>
      </c>
      <c r="BJ134" s="13" t="s">
        <v>303</v>
      </c>
      <c r="BK134" s="13" t="s">
        <v>303</v>
      </c>
      <c r="BL134" s="13" t="s">
        <v>303</v>
      </c>
      <c r="BN134" s="13" t="s">
        <v>303</v>
      </c>
      <c r="BO134" s="13" t="s">
        <v>303</v>
      </c>
      <c r="BP134" s="13" t="s">
        <v>303</v>
      </c>
      <c r="BQ134" s="13" t="s">
        <v>303</v>
      </c>
      <c r="BR134" s="13" t="s">
        <v>303</v>
      </c>
      <c r="BS134" s="13" t="s">
        <v>303</v>
      </c>
      <c r="BT134" s="13" t="s">
        <v>303</v>
      </c>
      <c r="BV134" s="13" t="s">
        <v>303</v>
      </c>
      <c r="BW134" s="13" t="s">
        <v>303</v>
      </c>
      <c r="BX134" s="13" t="s">
        <v>303</v>
      </c>
      <c r="CA134" s="13" t="s">
        <v>303</v>
      </c>
      <c r="CB134" s="13" t="s">
        <v>303</v>
      </c>
      <c r="CC134" s="13" t="s">
        <v>303</v>
      </c>
      <c r="CD134" s="13" t="s">
        <v>303</v>
      </c>
      <c r="CE134" s="13" t="s">
        <v>303</v>
      </c>
      <c r="CF134" s="13" t="s">
        <v>303</v>
      </c>
      <c r="CG134" s="13" t="s">
        <v>303</v>
      </c>
      <c r="CH134" s="13" t="s">
        <v>303</v>
      </c>
      <c r="CI134" s="13" t="s">
        <v>303</v>
      </c>
      <c r="CJ134" s="13" t="s">
        <v>303</v>
      </c>
      <c r="CK134" s="13" t="s">
        <v>303</v>
      </c>
      <c r="CL134" s="13" t="s">
        <v>303</v>
      </c>
      <c r="CM134" s="13" t="s">
        <v>303</v>
      </c>
      <c r="CN134" s="13" t="s">
        <v>303</v>
      </c>
      <c r="CP134" s="13" t="s">
        <v>303</v>
      </c>
      <c r="CQ134" s="13" t="s">
        <v>303</v>
      </c>
      <c r="CR134" s="13" t="s">
        <v>303</v>
      </c>
      <c r="CY134" s="13" t="s">
        <v>303</v>
      </c>
      <c r="CZ134" s="13" t="s">
        <v>303</v>
      </c>
      <c r="DA134" s="13" t="s">
        <v>303</v>
      </c>
    </row>
    <row r="135" spans="45:105" ht="15.75" customHeight="1">
      <c r="AS135" s="13" t="s">
        <v>303</v>
      </c>
      <c r="AU135" s="17"/>
      <c r="AZ135" s="13" t="s">
        <v>303</v>
      </c>
      <c r="BH135" s="13" t="s">
        <v>303</v>
      </c>
      <c r="BJ135" s="13" t="s">
        <v>303</v>
      </c>
      <c r="BK135" s="13" t="s">
        <v>303</v>
      </c>
      <c r="BL135" s="13" t="s">
        <v>303</v>
      </c>
      <c r="BN135" s="13" t="s">
        <v>303</v>
      </c>
      <c r="BO135" s="13" t="s">
        <v>303</v>
      </c>
      <c r="BP135" s="13" t="s">
        <v>303</v>
      </c>
      <c r="BQ135" s="13" t="s">
        <v>303</v>
      </c>
      <c r="BR135" s="13" t="s">
        <v>303</v>
      </c>
      <c r="BS135" s="13" t="s">
        <v>303</v>
      </c>
      <c r="BT135" s="13" t="s">
        <v>303</v>
      </c>
      <c r="BV135" s="13" t="s">
        <v>303</v>
      </c>
      <c r="BW135" s="13" t="s">
        <v>303</v>
      </c>
      <c r="BX135" s="13" t="s">
        <v>303</v>
      </c>
      <c r="CA135" s="13" t="s">
        <v>303</v>
      </c>
      <c r="CB135" s="13" t="s">
        <v>303</v>
      </c>
      <c r="CC135" s="13" t="s">
        <v>303</v>
      </c>
      <c r="CD135" s="13" t="s">
        <v>303</v>
      </c>
      <c r="CE135" s="13" t="s">
        <v>303</v>
      </c>
      <c r="CF135" s="13" t="s">
        <v>303</v>
      </c>
      <c r="CG135" s="13" t="s">
        <v>303</v>
      </c>
      <c r="CH135" s="13" t="s">
        <v>303</v>
      </c>
      <c r="CI135" s="13" t="s">
        <v>303</v>
      </c>
      <c r="CJ135" s="13" t="s">
        <v>303</v>
      </c>
      <c r="CK135" s="13" t="s">
        <v>303</v>
      </c>
      <c r="CL135" s="13" t="s">
        <v>303</v>
      </c>
      <c r="CM135" s="13" t="s">
        <v>303</v>
      </c>
      <c r="CN135" s="13" t="s">
        <v>303</v>
      </c>
      <c r="CP135" s="13" t="s">
        <v>303</v>
      </c>
      <c r="CQ135" s="13" t="s">
        <v>303</v>
      </c>
      <c r="CR135" s="13" t="s">
        <v>303</v>
      </c>
      <c r="CY135" s="13" t="s">
        <v>303</v>
      </c>
      <c r="CZ135" s="13" t="s">
        <v>303</v>
      </c>
      <c r="DA135" s="13" t="s">
        <v>303</v>
      </c>
    </row>
    <row r="136" spans="45:105" ht="15.75" customHeight="1">
      <c r="AS136" s="13" t="s">
        <v>303</v>
      </c>
      <c r="AU136" s="17"/>
      <c r="AZ136" s="13" t="s">
        <v>303</v>
      </c>
      <c r="BH136" s="13" t="s">
        <v>303</v>
      </c>
      <c r="BJ136" s="13" t="s">
        <v>303</v>
      </c>
      <c r="BK136" s="13" t="s">
        <v>303</v>
      </c>
      <c r="BL136" s="13" t="s">
        <v>303</v>
      </c>
      <c r="BN136" s="13" t="s">
        <v>303</v>
      </c>
      <c r="BO136" s="13" t="s">
        <v>303</v>
      </c>
      <c r="BP136" s="13" t="s">
        <v>303</v>
      </c>
      <c r="BQ136" s="13" t="s">
        <v>303</v>
      </c>
      <c r="BR136" s="13" t="s">
        <v>303</v>
      </c>
      <c r="BS136" s="13" t="s">
        <v>303</v>
      </c>
      <c r="BT136" s="13" t="s">
        <v>303</v>
      </c>
      <c r="BV136" s="13" t="s">
        <v>303</v>
      </c>
      <c r="BW136" s="13" t="s">
        <v>303</v>
      </c>
      <c r="BX136" s="13" t="s">
        <v>303</v>
      </c>
      <c r="CA136" s="13" t="s">
        <v>303</v>
      </c>
      <c r="CB136" s="13" t="s">
        <v>303</v>
      </c>
      <c r="CC136" s="13" t="s">
        <v>303</v>
      </c>
      <c r="CD136" s="13" t="s">
        <v>303</v>
      </c>
      <c r="CE136" s="13" t="s">
        <v>303</v>
      </c>
      <c r="CF136" s="13" t="s">
        <v>303</v>
      </c>
      <c r="CG136" s="13" t="s">
        <v>303</v>
      </c>
      <c r="CH136" s="13" t="s">
        <v>303</v>
      </c>
      <c r="CI136" s="13" t="s">
        <v>303</v>
      </c>
      <c r="CJ136" s="13" t="s">
        <v>303</v>
      </c>
      <c r="CK136" s="13" t="s">
        <v>303</v>
      </c>
      <c r="CL136" s="13" t="s">
        <v>303</v>
      </c>
      <c r="CM136" s="13" t="s">
        <v>303</v>
      </c>
      <c r="CN136" s="13" t="s">
        <v>303</v>
      </c>
      <c r="CP136" s="13" t="s">
        <v>303</v>
      </c>
      <c r="CQ136" s="13" t="s">
        <v>303</v>
      </c>
      <c r="CR136" s="13" t="s">
        <v>303</v>
      </c>
      <c r="CY136" s="13" t="s">
        <v>303</v>
      </c>
      <c r="CZ136" s="13" t="s">
        <v>303</v>
      </c>
      <c r="DA136" s="13" t="s">
        <v>303</v>
      </c>
    </row>
    <row r="137" spans="45:105" ht="15.75" customHeight="1">
      <c r="AS137" s="13" t="s">
        <v>303</v>
      </c>
      <c r="AU137" s="17"/>
      <c r="AZ137" s="13" t="s">
        <v>303</v>
      </c>
      <c r="BH137" s="13" t="s">
        <v>303</v>
      </c>
      <c r="BJ137" s="13" t="s">
        <v>303</v>
      </c>
      <c r="BK137" s="13" t="s">
        <v>303</v>
      </c>
      <c r="BL137" s="13" t="s">
        <v>303</v>
      </c>
      <c r="BN137" s="13" t="s">
        <v>303</v>
      </c>
      <c r="BO137" s="13" t="s">
        <v>303</v>
      </c>
      <c r="BP137" s="13" t="s">
        <v>303</v>
      </c>
      <c r="BQ137" s="13" t="s">
        <v>303</v>
      </c>
      <c r="BR137" s="13" t="s">
        <v>303</v>
      </c>
      <c r="BS137" s="13" t="s">
        <v>303</v>
      </c>
      <c r="BT137" s="13" t="s">
        <v>303</v>
      </c>
      <c r="BV137" s="13" t="s">
        <v>303</v>
      </c>
      <c r="BW137" s="13" t="s">
        <v>303</v>
      </c>
      <c r="BX137" s="13" t="s">
        <v>303</v>
      </c>
      <c r="CA137" s="13" t="s">
        <v>303</v>
      </c>
      <c r="CB137" s="13" t="s">
        <v>303</v>
      </c>
      <c r="CC137" s="13" t="s">
        <v>303</v>
      </c>
      <c r="CD137" s="13" t="s">
        <v>303</v>
      </c>
      <c r="CE137" s="13" t="s">
        <v>303</v>
      </c>
      <c r="CF137" s="13" t="s">
        <v>303</v>
      </c>
      <c r="CG137" s="13" t="s">
        <v>303</v>
      </c>
      <c r="CH137" s="13" t="s">
        <v>303</v>
      </c>
      <c r="CI137" s="13" t="s">
        <v>303</v>
      </c>
      <c r="CJ137" s="13" t="s">
        <v>303</v>
      </c>
      <c r="CK137" s="13" t="s">
        <v>303</v>
      </c>
      <c r="CL137" s="13" t="s">
        <v>303</v>
      </c>
      <c r="CM137" s="13" t="s">
        <v>303</v>
      </c>
      <c r="CN137" s="13" t="s">
        <v>303</v>
      </c>
      <c r="CP137" s="13" t="s">
        <v>303</v>
      </c>
      <c r="CQ137" s="13" t="s">
        <v>303</v>
      </c>
      <c r="CR137" s="13" t="s">
        <v>303</v>
      </c>
      <c r="CY137" s="13" t="s">
        <v>303</v>
      </c>
      <c r="CZ137" s="13" t="s">
        <v>303</v>
      </c>
      <c r="DA137" s="13" t="s">
        <v>303</v>
      </c>
    </row>
    <row r="138" spans="45:105" ht="15.75" customHeight="1">
      <c r="AS138" s="13" t="s">
        <v>303</v>
      </c>
      <c r="AU138" s="17"/>
      <c r="AZ138" s="13" t="s">
        <v>303</v>
      </c>
      <c r="BH138" s="13" t="s">
        <v>303</v>
      </c>
      <c r="BJ138" s="13" t="s">
        <v>303</v>
      </c>
      <c r="BK138" s="13" t="s">
        <v>303</v>
      </c>
      <c r="BL138" s="13" t="s">
        <v>303</v>
      </c>
      <c r="BN138" s="13" t="s">
        <v>303</v>
      </c>
      <c r="BO138" s="13" t="s">
        <v>303</v>
      </c>
      <c r="BP138" s="13" t="s">
        <v>303</v>
      </c>
      <c r="BQ138" s="13" t="s">
        <v>303</v>
      </c>
      <c r="BR138" s="13" t="s">
        <v>303</v>
      </c>
      <c r="BS138" s="13" t="s">
        <v>303</v>
      </c>
      <c r="BT138" s="13" t="s">
        <v>303</v>
      </c>
      <c r="BV138" s="13" t="s">
        <v>303</v>
      </c>
      <c r="BW138" s="13" t="s">
        <v>303</v>
      </c>
      <c r="BX138" s="13" t="s">
        <v>303</v>
      </c>
      <c r="CA138" s="13" t="s">
        <v>303</v>
      </c>
      <c r="CB138" s="13" t="s">
        <v>303</v>
      </c>
      <c r="CC138" s="13" t="s">
        <v>303</v>
      </c>
      <c r="CD138" s="13" t="s">
        <v>303</v>
      </c>
      <c r="CE138" s="13" t="s">
        <v>303</v>
      </c>
      <c r="CF138" s="13" t="s">
        <v>303</v>
      </c>
      <c r="CG138" s="13" t="s">
        <v>303</v>
      </c>
      <c r="CH138" s="13" t="s">
        <v>303</v>
      </c>
      <c r="CI138" s="13" t="s">
        <v>303</v>
      </c>
      <c r="CJ138" s="13" t="s">
        <v>303</v>
      </c>
      <c r="CK138" s="13" t="s">
        <v>303</v>
      </c>
      <c r="CL138" s="13" t="s">
        <v>303</v>
      </c>
      <c r="CM138" s="13" t="s">
        <v>303</v>
      </c>
      <c r="CN138" s="13" t="s">
        <v>303</v>
      </c>
      <c r="CP138" s="13" t="s">
        <v>303</v>
      </c>
      <c r="CQ138" s="13" t="s">
        <v>303</v>
      </c>
      <c r="CR138" s="13" t="s">
        <v>303</v>
      </c>
      <c r="CY138" s="13" t="s">
        <v>303</v>
      </c>
      <c r="CZ138" s="13" t="s">
        <v>303</v>
      </c>
      <c r="DA138" s="13" t="s">
        <v>303</v>
      </c>
    </row>
    <row r="139" spans="45:105" ht="15.75" customHeight="1">
      <c r="AS139" s="13" t="s">
        <v>303</v>
      </c>
      <c r="AU139" s="18"/>
      <c r="AZ139" s="13" t="s">
        <v>303</v>
      </c>
      <c r="BH139" s="13" t="s">
        <v>303</v>
      </c>
      <c r="BJ139" s="13" t="s">
        <v>303</v>
      </c>
      <c r="BK139" s="13" t="s">
        <v>303</v>
      </c>
      <c r="BL139" s="13" t="s">
        <v>303</v>
      </c>
      <c r="BN139" s="13" t="s">
        <v>303</v>
      </c>
      <c r="BO139" s="13" t="s">
        <v>303</v>
      </c>
      <c r="BP139" s="13" t="s">
        <v>303</v>
      </c>
      <c r="BQ139" s="13" t="s">
        <v>303</v>
      </c>
      <c r="BR139" s="13" t="s">
        <v>303</v>
      </c>
      <c r="BS139" s="13" t="s">
        <v>303</v>
      </c>
      <c r="BT139" s="13" t="s">
        <v>303</v>
      </c>
      <c r="BV139" s="13" t="s">
        <v>303</v>
      </c>
      <c r="BW139" s="13" t="s">
        <v>303</v>
      </c>
      <c r="BX139" s="13" t="s">
        <v>303</v>
      </c>
      <c r="CA139" s="13" t="s">
        <v>303</v>
      </c>
      <c r="CB139" s="13" t="s">
        <v>303</v>
      </c>
      <c r="CC139" s="13" t="s">
        <v>303</v>
      </c>
      <c r="CD139" s="13" t="s">
        <v>303</v>
      </c>
      <c r="CE139" s="13" t="s">
        <v>303</v>
      </c>
      <c r="CF139" s="13" t="s">
        <v>303</v>
      </c>
      <c r="CG139" s="13" t="s">
        <v>303</v>
      </c>
      <c r="CH139" s="13" t="s">
        <v>303</v>
      </c>
      <c r="CI139" s="13" t="s">
        <v>303</v>
      </c>
      <c r="CJ139" s="13" t="s">
        <v>303</v>
      </c>
      <c r="CK139" s="13" t="s">
        <v>303</v>
      </c>
      <c r="CL139" s="13" t="s">
        <v>303</v>
      </c>
      <c r="CM139" s="13" t="s">
        <v>303</v>
      </c>
      <c r="CN139" s="13" t="s">
        <v>303</v>
      </c>
      <c r="CP139" s="13" t="s">
        <v>303</v>
      </c>
      <c r="CQ139" s="13" t="s">
        <v>303</v>
      </c>
      <c r="CR139" s="13" t="s">
        <v>303</v>
      </c>
      <c r="CY139" s="13" t="s">
        <v>303</v>
      </c>
      <c r="CZ139" s="13" t="s">
        <v>303</v>
      </c>
      <c r="DA139" s="13" t="s">
        <v>303</v>
      </c>
    </row>
    <row r="140" spans="45:105" ht="15.75" customHeight="1">
      <c r="AS140" s="13" t="s">
        <v>303</v>
      </c>
      <c r="AU140" s="17"/>
    </row>
    <row r="141" spans="45:105" ht="15.75" customHeight="1">
      <c r="AS141" s="13" t="s">
        <v>303</v>
      </c>
      <c r="AU141" s="17"/>
    </row>
    <row r="142" spans="45:105" ht="15.75" customHeight="1">
      <c r="AS142" s="13" t="s">
        <v>303</v>
      </c>
      <c r="AU142" s="17"/>
    </row>
    <row r="143" spans="45:105" ht="15.75" customHeight="1">
      <c r="AS143" s="13" t="s">
        <v>303</v>
      </c>
      <c r="AU143" s="17"/>
    </row>
    <row r="144" spans="45:105" ht="15.75" customHeight="1">
      <c r="AS144" s="13" t="s">
        <v>303</v>
      </c>
      <c r="AU144" s="17"/>
    </row>
    <row r="145" spans="45:47" ht="15.75" customHeight="1">
      <c r="AS145" s="13" t="s">
        <v>303</v>
      </c>
      <c r="AU145" s="18"/>
    </row>
    <row r="146" spans="45:47" ht="15.75" customHeight="1">
      <c r="AS146" s="13" t="s">
        <v>303</v>
      </c>
      <c r="AU146" s="17"/>
    </row>
    <row r="147" spans="45:47" ht="15.75" customHeight="1">
      <c r="AS147" s="13" t="s">
        <v>303</v>
      </c>
      <c r="AU147" s="17"/>
    </row>
    <row r="148" spans="45:47" ht="15.75" customHeight="1">
      <c r="AS148" s="13" t="s">
        <v>303</v>
      </c>
      <c r="AU148" s="17"/>
    </row>
    <row r="149" spans="45:47" ht="15.75" customHeight="1">
      <c r="AS149" s="13" t="s">
        <v>303</v>
      </c>
      <c r="AU149" s="17"/>
    </row>
    <row r="150" spans="45:47" ht="15.75" customHeight="1">
      <c r="AS150" s="13" t="s">
        <v>303</v>
      </c>
      <c r="AU150" s="17"/>
    </row>
    <row r="151" spans="45:47" ht="15.75" customHeight="1">
      <c r="AS151" s="13" t="s">
        <v>303</v>
      </c>
      <c r="AU151" s="18"/>
    </row>
    <row r="152" spans="45:47" ht="15.75" customHeight="1">
      <c r="AS152" s="13" t="s">
        <v>303</v>
      </c>
      <c r="AU152" s="17"/>
    </row>
    <row r="153" spans="45:47" ht="15.75" customHeight="1">
      <c r="AS153" s="13" t="s">
        <v>303</v>
      </c>
      <c r="AU153" s="17"/>
    </row>
    <row r="154" spans="45:47" ht="15.75" customHeight="1">
      <c r="AS154" s="13" t="s">
        <v>303</v>
      </c>
      <c r="AU154" s="17"/>
    </row>
    <row r="155" spans="45:47" ht="15.75" customHeight="1">
      <c r="AS155" s="13" t="s">
        <v>303</v>
      </c>
      <c r="AU155" s="17"/>
    </row>
    <row r="156" spans="45:47" ht="15.75" customHeight="1">
      <c r="AS156" s="13" t="s">
        <v>303</v>
      </c>
      <c r="AU156" s="17"/>
    </row>
    <row r="157" spans="45:47" ht="15.75" customHeight="1">
      <c r="AS157" s="13" t="s">
        <v>303</v>
      </c>
      <c r="AU157" s="17"/>
    </row>
    <row r="158" spans="45:47" ht="15.75" customHeight="1">
      <c r="AS158" s="13" t="s">
        <v>303</v>
      </c>
      <c r="AU158" s="18"/>
    </row>
    <row r="159" spans="45:47" ht="15.75" customHeight="1">
      <c r="AS159" s="13" t="s">
        <v>303</v>
      </c>
      <c r="AU159" s="17"/>
    </row>
    <row r="160" spans="45:47" ht="15.75" customHeight="1">
      <c r="AS160" s="13" t="s">
        <v>303</v>
      </c>
      <c r="AU160" s="17"/>
    </row>
    <row r="161" spans="45:47" ht="15.75" customHeight="1">
      <c r="AS161" s="13" t="s">
        <v>303</v>
      </c>
      <c r="AU161" s="17"/>
    </row>
    <row r="162" spans="45:47" ht="15.75" customHeight="1">
      <c r="AS162" s="13" t="s">
        <v>303</v>
      </c>
      <c r="AU162" s="17"/>
    </row>
    <row r="163" spans="45:47" ht="15.75" customHeight="1">
      <c r="AS163" s="13" t="s">
        <v>303</v>
      </c>
      <c r="AU163" s="17"/>
    </row>
    <row r="164" spans="45:47" ht="15.75" customHeight="1">
      <c r="AS164" s="13" t="s">
        <v>303</v>
      </c>
      <c r="AU164" s="18"/>
    </row>
    <row r="165" spans="45:47" ht="15.75" customHeight="1">
      <c r="AS165" s="13" t="s">
        <v>303</v>
      </c>
      <c r="AU165" s="17"/>
    </row>
    <row r="166" spans="45:47" ht="15.75" customHeight="1">
      <c r="AS166" s="13" t="s">
        <v>303</v>
      </c>
      <c r="AU166" s="17"/>
    </row>
    <row r="167" spans="45:47" ht="15.75" customHeight="1">
      <c r="AS167" s="13" t="s">
        <v>303</v>
      </c>
      <c r="AU167" s="17"/>
    </row>
    <row r="168" spans="45:47" ht="15.75" customHeight="1">
      <c r="AS168" s="13" t="s">
        <v>303</v>
      </c>
      <c r="AU168" s="17"/>
    </row>
    <row r="169" spans="45:47" ht="15.75" customHeight="1">
      <c r="AS169" s="13" t="s">
        <v>303</v>
      </c>
      <c r="AU169" s="18"/>
    </row>
    <row r="170" spans="45:47" ht="15.75" customHeight="1">
      <c r="AS170" s="13" t="s">
        <v>303</v>
      </c>
      <c r="AU170" s="17"/>
    </row>
    <row r="171" spans="45:47" ht="15.75" customHeight="1">
      <c r="AS171" s="13" t="s">
        <v>303</v>
      </c>
      <c r="AU171" s="17"/>
    </row>
    <row r="172" spans="45:47" ht="15.75" customHeight="1">
      <c r="AS172" s="13" t="s">
        <v>303</v>
      </c>
      <c r="AU172" s="17"/>
    </row>
    <row r="173" spans="45:47" ht="15.75" customHeight="1">
      <c r="AS173" s="13" t="s">
        <v>303</v>
      </c>
      <c r="AU173" s="17"/>
    </row>
    <row r="174" spans="45:47" ht="15.75" customHeight="1">
      <c r="AS174" s="13" t="s">
        <v>303</v>
      </c>
      <c r="AU174" s="17"/>
    </row>
    <row r="175" spans="45:47" ht="15.75" customHeight="1">
      <c r="AS175" s="13" t="s">
        <v>303</v>
      </c>
      <c r="AU175" s="18"/>
    </row>
    <row r="176" spans="45:47" ht="15.75" customHeight="1">
      <c r="AS176" s="13" t="s">
        <v>303</v>
      </c>
      <c r="AU176" s="17"/>
    </row>
    <row r="177" spans="45:47" ht="15.75" customHeight="1">
      <c r="AS177" s="13" t="s">
        <v>303</v>
      </c>
      <c r="AU177" s="17"/>
    </row>
    <row r="178" spans="45:47" ht="15.75" customHeight="1">
      <c r="AS178" s="13" t="s">
        <v>303</v>
      </c>
      <c r="AU178" s="17"/>
    </row>
    <row r="179" spans="45:47" ht="15.75" customHeight="1">
      <c r="AS179" s="13" t="s">
        <v>303</v>
      </c>
      <c r="AU179" s="17"/>
    </row>
    <row r="180" spans="45:47" ht="15.75" customHeight="1">
      <c r="AS180" s="13" t="s">
        <v>303</v>
      </c>
      <c r="AU180" s="17"/>
    </row>
    <row r="181" spans="45:47" ht="15.75" customHeight="1">
      <c r="AS181" s="13" t="s">
        <v>303</v>
      </c>
      <c r="AU181" s="18"/>
    </row>
    <row r="182" spans="45:47" ht="15.75" customHeight="1">
      <c r="AS182" s="13" t="s">
        <v>303</v>
      </c>
      <c r="AU182" s="17"/>
    </row>
    <row r="183" spans="45:47" ht="15.75" customHeight="1">
      <c r="AS183" s="13" t="s">
        <v>303</v>
      </c>
      <c r="AU183" s="17"/>
    </row>
    <row r="184" spans="45:47" ht="15.75" customHeight="1">
      <c r="AS184" s="13" t="s">
        <v>303</v>
      </c>
      <c r="AU184" s="17"/>
    </row>
    <row r="185" spans="45:47" ht="15.75" customHeight="1">
      <c r="AS185" s="13" t="s">
        <v>303</v>
      </c>
      <c r="AU185" s="17"/>
    </row>
    <row r="186" spans="45:47" ht="15.75" customHeight="1">
      <c r="AS186" s="13" t="s">
        <v>303</v>
      </c>
      <c r="AU186" s="17"/>
    </row>
    <row r="187" spans="45:47" ht="15.75" customHeight="1">
      <c r="AS187" s="13" t="s">
        <v>303</v>
      </c>
      <c r="AU187" s="17"/>
    </row>
    <row r="188" spans="45:47" ht="15.75" customHeight="1">
      <c r="AS188" s="13" t="s">
        <v>303</v>
      </c>
      <c r="AU188" s="18"/>
    </row>
    <row r="189" spans="45:47" ht="15.75" customHeight="1">
      <c r="AS189" s="13" t="s">
        <v>303</v>
      </c>
      <c r="AU189" s="17"/>
    </row>
    <row r="190" spans="45:47" ht="15.75" customHeight="1">
      <c r="AS190" s="13" t="s">
        <v>303</v>
      </c>
      <c r="AU190" s="17"/>
    </row>
    <row r="191" spans="45:47" ht="15.75" customHeight="1">
      <c r="AS191" s="13" t="s">
        <v>303</v>
      </c>
      <c r="AU191" s="17"/>
    </row>
    <row r="192" spans="45:47" ht="15.75" customHeight="1">
      <c r="AS192" s="13" t="s">
        <v>303</v>
      </c>
      <c r="AU192" s="17"/>
    </row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spans="31:31" ht="15.75" customHeight="1"/>
    <row r="1010" spans="31:31" ht="15.75" customHeight="1"/>
    <row r="1011" spans="31:31" ht="15.75" customHeight="1"/>
    <row r="1012" spans="31:31" ht="15.75" customHeight="1"/>
    <row r="1013" spans="31:31" ht="15.75" customHeight="1"/>
    <row r="1014" spans="31:31" ht="15.75" customHeight="1"/>
    <row r="1015" spans="31:31" ht="15.75" customHeight="1"/>
    <row r="1016" spans="31:31" ht="15.75" customHeight="1">
      <c r="AE1016" s="7" t="s">
        <v>258</v>
      </c>
    </row>
  </sheetData>
  <customSheetViews>
    <customSheetView guid="{35413393-C195-47D6-A72E-49FFB6143B63}" filter="1" showAutoFilter="1">
      <pageMargins left="0.7" right="0.7" top="0.75" bottom="0.75" header="0.3" footer="0.3"/>
      <autoFilter ref="A3:DB99" xr:uid="{839AA448-15BA-5C47-9471-ABB374577632}"/>
    </customSheetView>
  </customSheetViews>
  <pageMargins left="0.7" right="0.7" top="0.75" bottom="0.75" header="0" footer="0"/>
  <pageSetup orientation="landscape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A1000"/>
  <sheetViews>
    <sheetView workbookViewId="0"/>
  </sheetViews>
  <sheetFormatPr baseColWidth="10" defaultColWidth="12.6640625" defaultRowHeight="15" customHeight="1"/>
  <cols>
    <col min="3" max="3" width="14.33203125" customWidth="1"/>
    <col min="6" max="6" width="20.6640625" customWidth="1"/>
  </cols>
  <sheetData>
    <row r="1" spans="1:27">
      <c r="A1" s="56" t="str">
        <f ca="1">IFERROR(__xludf.DUMMYFUNCTION("IMPORTRANGE(""https://docs.google.com/spreadsheets/d/1EzKkGPvQKhP19qcrNLwYMBf1WGoBBDr2JY0Cm52km_Q/edit#gid=943410670"",""APY calc!A:B"")"),"Coin")</f>
        <v>Coin</v>
      </c>
      <c r="B1" s="56" t="str">
        <f ca="1">IFERROR(__xludf.DUMMYFUNCTION("""COMPUTED_VALUE"""),"7d apy net")</f>
        <v>7d apy net</v>
      </c>
      <c r="C1" s="57"/>
      <c r="D1" s="56"/>
      <c r="E1" s="56"/>
      <c r="F1" s="56"/>
      <c r="G1" s="58"/>
      <c r="H1" s="56"/>
      <c r="I1" s="56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</row>
    <row r="2" spans="1:27">
      <c r="A2" s="9" t="str">
        <f ca="1">IFERROR(__xludf.DUMMYFUNCTION("""COMPUTED_VALUE"""),"ETH")</f>
        <v>ETH</v>
      </c>
      <c r="B2" s="30">
        <f ca="1">IFERROR(__xludf.DUMMYFUNCTION("""COMPUTED_VALUE"""),0.0543807778122444)</f>
        <v>5.4380777812244402E-2</v>
      </c>
      <c r="C2" s="59"/>
      <c r="D2" s="13"/>
      <c r="E2" s="13"/>
      <c r="F2" s="60"/>
      <c r="I2" s="30"/>
    </row>
    <row r="3" spans="1:27">
      <c r="A3" s="9" t="str">
        <f ca="1">IFERROR(__xludf.DUMMYFUNCTION("""COMPUTED_VALUE"""),"BTC")</f>
        <v>BTC</v>
      </c>
      <c r="B3" s="30">
        <f ca="1">IFERROR(__xludf.DUMMYFUNCTION("""COMPUTED_VALUE"""),0.0560537155265252)</f>
        <v>5.6053715526525202E-2</v>
      </c>
      <c r="C3" s="59"/>
      <c r="D3" s="13"/>
      <c r="E3" s="13"/>
      <c r="F3" s="60"/>
      <c r="I3" s="30"/>
    </row>
    <row r="4" spans="1:27">
      <c r="A4" s="9" t="str">
        <f ca="1">IFERROR(__xludf.DUMMYFUNCTION("""COMPUTED_VALUE"""),"USDC")</f>
        <v>USDC</v>
      </c>
      <c r="B4" s="30">
        <f ca="1">IFERROR(__xludf.DUMMYFUNCTION("""COMPUTED_VALUE"""),0.138159671460625)</f>
        <v>0.13815967146062499</v>
      </c>
      <c r="C4" s="59"/>
      <c r="D4" s="13"/>
      <c r="E4" s="13"/>
      <c r="F4" s="60"/>
      <c r="I4" s="30"/>
    </row>
    <row r="5" spans="1:27">
      <c r="A5" s="9" t="str">
        <f ca="1">IFERROR(__xludf.DUMMYFUNCTION("""COMPUTED_VALUE"""),"MCDAI")</f>
        <v>MCDAI</v>
      </c>
      <c r="B5" s="30">
        <f ca="1">IFERROR(__xludf.DUMMYFUNCTION("""COMPUTED_VALUE"""),0.178182299775806)</f>
        <v>0.17818229977580599</v>
      </c>
      <c r="C5" s="59"/>
      <c r="D5" s="13"/>
      <c r="E5" s="13"/>
      <c r="F5" s="60"/>
      <c r="I5" s="30"/>
    </row>
    <row r="6" spans="1:27">
      <c r="A6" s="9" t="str">
        <f ca="1">IFERROR(__xludf.DUMMYFUNCTION("""COMPUTED_VALUE"""),"LINK")</f>
        <v>LINK</v>
      </c>
      <c r="B6" s="30">
        <f ca="1">IFERROR(__xludf.DUMMYFUNCTION("""COMPUTED_VALUE"""),0.102117061537241)</f>
        <v>0.102117061537241</v>
      </c>
      <c r="C6" s="59"/>
      <c r="D6" s="13"/>
      <c r="E6" s="13"/>
      <c r="F6" s="60"/>
      <c r="I6" s="30"/>
    </row>
    <row r="7" spans="1:27">
      <c r="A7" s="9"/>
      <c r="B7" s="9"/>
      <c r="C7" s="59"/>
      <c r="D7" s="13"/>
      <c r="E7" s="13"/>
      <c r="F7" s="60"/>
      <c r="I7" s="30"/>
    </row>
    <row r="8" spans="1:27">
      <c r="A8" s="9"/>
      <c r="B8" s="9"/>
      <c r="C8" s="59"/>
      <c r="D8" s="13"/>
      <c r="E8" s="13"/>
      <c r="F8" s="60"/>
    </row>
    <row r="9" spans="1:27">
      <c r="A9" s="9"/>
      <c r="B9" s="9"/>
      <c r="C9" s="59"/>
      <c r="D9" s="13"/>
      <c r="E9" s="13"/>
      <c r="F9" s="60"/>
    </row>
    <row r="10" spans="1:27">
      <c r="A10" s="9"/>
      <c r="B10" s="9"/>
      <c r="C10" s="59"/>
      <c r="D10" s="13"/>
      <c r="E10" s="13"/>
      <c r="F10" s="60"/>
    </row>
    <row r="11" spans="1:27">
      <c r="A11" s="9"/>
      <c r="B11" s="9"/>
      <c r="C11" s="59"/>
      <c r="D11" s="13"/>
      <c r="E11" s="13"/>
      <c r="F11" s="60"/>
    </row>
    <row r="12" spans="1:27">
      <c r="A12" s="9"/>
      <c r="B12" s="9"/>
      <c r="C12" s="59"/>
      <c r="D12" s="13"/>
      <c r="E12" s="13"/>
    </row>
    <row r="13" spans="1:27">
      <c r="A13" s="9"/>
      <c r="B13" s="9"/>
      <c r="C13" s="61"/>
      <c r="D13" s="13"/>
      <c r="E13" s="13"/>
    </row>
    <row r="14" spans="1:27">
      <c r="A14" s="9"/>
      <c r="B14" s="9"/>
      <c r="C14" s="59"/>
      <c r="D14" s="13"/>
      <c r="E14" s="13"/>
    </row>
    <row r="15" spans="1:27">
      <c r="A15" s="9"/>
      <c r="B15" s="9"/>
      <c r="C15" s="59"/>
      <c r="D15" s="13"/>
      <c r="E15" s="13"/>
    </row>
    <row r="16" spans="1:27">
      <c r="A16" s="9"/>
      <c r="B16" s="9"/>
      <c r="C16" s="62"/>
      <c r="D16" s="13"/>
      <c r="E16" s="13"/>
    </row>
    <row r="17" spans="1:5">
      <c r="A17" s="9"/>
      <c r="B17" s="9"/>
      <c r="C17" s="59"/>
      <c r="D17" s="13"/>
      <c r="E17" s="13"/>
    </row>
    <row r="18" spans="1:5">
      <c r="A18" s="9"/>
      <c r="B18" s="9"/>
      <c r="C18" s="63"/>
      <c r="D18" s="13"/>
      <c r="E18" s="13"/>
    </row>
    <row r="19" spans="1:5">
      <c r="A19" s="9"/>
      <c r="B19" s="9"/>
      <c r="C19" s="64"/>
    </row>
    <row r="20" spans="1:5">
      <c r="A20" s="9"/>
      <c r="B20" s="9"/>
      <c r="C20" s="64"/>
    </row>
    <row r="21" spans="1:5">
      <c r="A21" s="9"/>
      <c r="B21" s="61"/>
      <c r="C21" s="64"/>
    </row>
    <row r="22" spans="1:5">
      <c r="A22" s="9"/>
      <c r="B22" s="9"/>
      <c r="C22" s="64"/>
    </row>
    <row r="23" spans="1:5">
      <c r="A23" s="9"/>
      <c r="B23" s="9"/>
      <c r="C23" s="64"/>
    </row>
    <row r="24" spans="1:5">
      <c r="A24" s="9"/>
      <c r="B24" s="9"/>
      <c r="C24" s="64"/>
    </row>
    <row r="25" spans="1:5">
      <c r="A25" s="9"/>
      <c r="B25" s="9"/>
      <c r="C25" s="64"/>
    </row>
    <row r="26" spans="1:5">
      <c r="A26" s="9"/>
      <c r="B26" s="9"/>
      <c r="C26" s="64"/>
    </row>
    <row r="27" spans="1:5">
      <c r="A27" s="9"/>
      <c r="B27" s="9"/>
      <c r="C27" s="64"/>
    </row>
    <row r="28" spans="1:5">
      <c r="A28" s="9"/>
      <c r="B28" s="9"/>
      <c r="C28" s="64"/>
    </row>
    <row r="29" spans="1:5">
      <c r="A29" s="9"/>
      <c r="B29" s="9"/>
      <c r="C29" s="64"/>
    </row>
    <row r="30" spans="1:5">
      <c r="A30" s="9"/>
      <c r="B30" s="9"/>
      <c r="C30" s="64"/>
    </row>
    <row r="31" spans="1:5">
      <c r="A31" s="9"/>
      <c r="B31" s="9"/>
      <c r="C31" s="64"/>
    </row>
    <row r="32" spans="1:5">
      <c r="A32" s="9"/>
      <c r="B32" s="9"/>
      <c r="C32" s="64"/>
    </row>
    <row r="33" spans="1:3">
      <c r="A33" s="9"/>
      <c r="B33" s="9"/>
      <c r="C33" s="64"/>
    </row>
    <row r="34" spans="1:3">
      <c r="A34" s="9"/>
      <c r="B34" s="9"/>
      <c r="C34" s="64"/>
    </row>
    <row r="35" spans="1:3">
      <c r="A35" s="9"/>
      <c r="B35" s="9"/>
      <c r="C35" s="64"/>
    </row>
    <row r="36" spans="1:3">
      <c r="A36" s="9"/>
      <c r="B36" s="9"/>
      <c r="C36" s="64"/>
    </row>
    <row r="37" spans="1:3">
      <c r="A37" s="9"/>
      <c r="B37" s="9"/>
      <c r="C37" s="64"/>
    </row>
    <row r="38" spans="1:3">
      <c r="A38" s="9"/>
      <c r="B38" s="9"/>
      <c r="C38" s="64"/>
    </row>
    <row r="39" spans="1:3">
      <c r="A39" s="9"/>
      <c r="B39" s="9"/>
      <c r="C39" s="64"/>
    </row>
    <row r="40" spans="1:3">
      <c r="A40" s="9"/>
      <c r="B40" s="9"/>
      <c r="C40" s="64"/>
    </row>
    <row r="41" spans="1:3">
      <c r="A41" s="9"/>
      <c r="B41" s="9"/>
      <c r="C41" s="64"/>
    </row>
    <row r="42" spans="1:3">
      <c r="A42" s="9"/>
      <c r="B42" s="9"/>
      <c r="C42" s="64"/>
    </row>
    <row r="43" spans="1:3">
      <c r="A43" s="9"/>
      <c r="B43" s="9"/>
      <c r="C43" s="64"/>
    </row>
    <row r="44" spans="1:3">
      <c r="A44" s="9"/>
      <c r="B44" s="9"/>
      <c r="C44" s="64"/>
    </row>
    <row r="45" spans="1:3">
      <c r="A45" s="9"/>
      <c r="B45" s="9"/>
      <c r="C45" s="64"/>
    </row>
    <row r="46" spans="1:3">
      <c r="A46" s="9"/>
      <c r="B46" s="9"/>
      <c r="C46" s="64"/>
    </row>
    <row r="47" spans="1:3">
      <c r="A47" s="9"/>
      <c r="B47" s="9"/>
      <c r="C47" s="64"/>
    </row>
    <row r="48" spans="1:3">
      <c r="A48" s="9"/>
      <c r="B48" s="9"/>
      <c r="C48" s="64"/>
    </row>
    <row r="49" spans="1:3">
      <c r="A49" s="9"/>
      <c r="B49" s="9"/>
      <c r="C49" s="64"/>
    </row>
    <row r="50" spans="1:3">
      <c r="A50" s="9"/>
      <c r="B50" s="9"/>
      <c r="C50" s="64"/>
    </row>
    <row r="51" spans="1:3">
      <c r="A51" s="9"/>
      <c r="B51" s="9"/>
      <c r="C51" s="64"/>
    </row>
    <row r="52" spans="1:3">
      <c r="A52" s="9"/>
      <c r="B52" s="9"/>
      <c r="C52" s="64"/>
    </row>
    <row r="53" spans="1:3">
      <c r="A53" s="9"/>
      <c r="B53" s="9"/>
      <c r="C53" s="64"/>
    </row>
    <row r="54" spans="1:3">
      <c r="A54" s="9"/>
      <c r="B54" s="9"/>
      <c r="C54" s="64"/>
    </row>
    <row r="55" spans="1:3">
      <c r="A55" s="9"/>
      <c r="B55" s="9"/>
      <c r="C55" s="64"/>
    </row>
    <row r="56" spans="1:3">
      <c r="A56" s="9"/>
      <c r="B56" s="9"/>
      <c r="C56" s="64"/>
    </row>
    <row r="57" spans="1:3">
      <c r="A57" s="9"/>
      <c r="B57" s="9"/>
      <c r="C57" s="64"/>
    </row>
    <row r="58" spans="1:3">
      <c r="A58" s="9"/>
      <c r="B58" s="9"/>
      <c r="C58" s="64"/>
    </row>
    <row r="59" spans="1:3">
      <c r="A59" s="9"/>
      <c r="B59" s="9"/>
      <c r="C59" s="64"/>
    </row>
    <row r="60" spans="1:3">
      <c r="A60" s="9"/>
      <c r="B60" s="9"/>
      <c r="C60" s="64"/>
    </row>
    <row r="61" spans="1:3">
      <c r="A61" s="9"/>
      <c r="B61" s="9"/>
      <c r="C61" s="64"/>
    </row>
    <row r="62" spans="1:3">
      <c r="A62" s="9"/>
      <c r="B62" s="9"/>
      <c r="C62" s="64"/>
    </row>
    <row r="63" spans="1:3">
      <c r="A63" s="9"/>
      <c r="B63" s="9"/>
      <c r="C63" s="64"/>
    </row>
    <row r="64" spans="1:3">
      <c r="A64" s="9"/>
      <c r="B64" s="9"/>
      <c r="C64" s="64"/>
    </row>
    <row r="65" spans="1:3">
      <c r="A65" s="9"/>
      <c r="B65" s="9"/>
      <c r="C65" s="64"/>
    </row>
    <row r="66" spans="1:3">
      <c r="A66" s="9"/>
      <c r="B66" s="9"/>
      <c r="C66" s="64"/>
    </row>
    <row r="67" spans="1:3">
      <c r="A67" s="9"/>
      <c r="B67" s="9"/>
      <c r="C67" s="64"/>
    </row>
    <row r="68" spans="1:3">
      <c r="A68" s="9"/>
      <c r="B68" s="9"/>
      <c r="C68" s="64"/>
    </row>
    <row r="69" spans="1:3">
      <c r="A69" s="9"/>
      <c r="B69" s="9"/>
      <c r="C69" s="64"/>
    </row>
    <row r="70" spans="1:3">
      <c r="A70" s="9"/>
      <c r="B70" s="9"/>
      <c r="C70" s="64"/>
    </row>
    <row r="71" spans="1:3">
      <c r="A71" s="9"/>
      <c r="B71" s="9"/>
      <c r="C71" s="64"/>
    </row>
    <row r="72" spans="1:3">
      <c r="A72" s="9"/>
      <c r="B72" s="9"/>
      <c r="C72" s="64"/>
    </row>
    <row r="73" spans="1:3">
      <c r="A73" s="9"/>
      <c r="B73" s="9"/>
      <c r="C73" s="64"/>
    </row>
    <row r="74" spans="1:3">
      <c r="A74" s="9"/>
      <c r="B74" s="9"/>
      <c r="C74" s="64"/>
    </row>
    <row r="75" spans="1:3">
      <c r="A75" s="9"/>
      <c r="B75" s="9"/>
      <c r="C75" s="64"/>
    </row>
    <row r="76" spans="1:3">
      <c r="A76" s="9"/>
      <c r="B76" s="9"/>
      <c r="C76" s="64"/>
    </row>
    <row r="77" spans="1:3">
      <c r="A77" s="9"/>
      <c r="B77" s="9"/>
      <c r="C77" s="64"/>
    </row>
    <row r="78" spans="1:3">
      <c r="A78" s="9"/>
      <c r="B78" s="9"/>
      <c r="C78" s="64"/>
    </row>
    <row r="79" spans="1:3">
      <c r="A79" s="9"/>
      <c r="B79" s="9"/>
      <c r="C79" s="64"/>
    </row>
    <row r="80" spans="1:3">
      <c r="A80" s="9"/>
      <c r="B80" s="9"/>
      <c r="C80" s="64"/>
    </row>
    <row r="81" spans="1:3">
      <c r="A81" s="9"/>
      <c r="B81" s="9"/>
      <c r="C81" s="64"/>
    </row>
    <row r="82" spans="1:3">
      <c r="A82" s="9"/>
      <c r="B82" s="9"/>
      <c r="C82" s="64"/>
    </row>
    <row r="83" spans="1:3">
      <c r="A83" s="9"/>
      <c r="B83" s="9"/>
      <c r="C83" s="64"/>
    </row>
    <row r="84" spans="1:3">
      <c r="A84" s="9"/>
      <c r="B84" s="9"/>
      <c r="C84" s="64"/>
    </row>
    <row r="85" spans="1:3">
      <c r="A85" s="9"/>
      <c r="B85" s="9"/>
      <c r="C85" s="64"/>
    </row>
    <row r="86" spans="1:3">
      <c r="A86" s="9"/>
      <c r="B86" s="9"/>
      <c r="C86" s="64"/>
    </row>
    <row r="87" spans="1:3">
      <c r="A87" s="9"/>
      <c r="B87" s="9"/>
      <c r="C87" s="64"/>
    </row>
    <row r="88" spans="1:3">
      <c r="A88" s="9"/>
      <c r="B88" s="9"/>
      <c r="C88" s="64"/>
    </row>
    <row r="89" spans="1:3">
      <c r="A89" s="9"/>
      <c r="B89" s="9"/>
      <c r="C89" s="64"/>
    </row>
    <row r="90" spans="1:3">
      <c r="A90" s="9"/>
      <c r="B90" s="9"/>
      <c r="C90" s="64"/>
    </row>
    <row r="91" spans="1:3">
      <c r="A91" s="9"/>
      <c r="B91" s="9"/>
      <c r="C91" s="64"/>
    </row>
    <row r="92" spans="1:3">
      <c r="A92" s="9"/>
      <c r="B92" s="9"/>
      <c r="C92" s="64"/>
    </row>
    <row r="93" spans="1:3">
      <c r="A93" s="9"/>
      <c r="B93" s="9"/>
      <c r="C93" s="64"/>
    </row>
    <row r="94" spans="1:3">
      <c r="A94" s="9"/>
      <c r="B94" s="9"/>
      <c r="C94" s="64"/>
    </row>
    <row r="95" spans="1:3">
      <c r="A95" s="9"/>
      <c r="B95" s="9"/>
      <c r="C95" s="64"/>
    </row>
    <row r="96" spans="1:3">
      <c r="A96" s="9"/>
      <c r="B96" s="9"/>
      <c r="C96" s="64"/>
    </row>
    <row r="97" spans="1:3">
      <c r="A97" s="9"/>
      <c r="B97" s="9"/>
      <c r="C97" s="64"/>
    </row>
    <row r="98" spans="1:3">
      <c r="A98" s="9"/>
      <c r="B98" s="9"/>
      <c r="C98" s="64"/>
    </row>
    <row r="99" spans="1:3">
      <c r="A99" s="9"/>
      <c r="B99" s="9"/>
      <c r="C99" s="64"/>
    </row>
    <row r="100" spans="1:3">
      <c r="A100" s="9"/>
      <c r="B100" s="9"/>
      <c r="C100" s="64"/>
    </row>
    <row r="101" spans="1:3">
      <c r="A101" s="9"/>
      <c r="B101" s="9"/>
      <c r="C101" s="64"/>
    </row>
    <row r="102" spans="1:3">
      <c r="A102" s="9"/>
      <c r="B102" s="9"/>
      <c r="C102" s="64"/>
    </row>
    <row r="103" spans="1:3">
      <c r="A103" s="9"/>
      <c r="B103" s="9"/>
      <c r="C103" s="64"/>
    </row>
    <row r="104" spans="1:3">
      <c r="A104" s="9"/>
      <c r="B104" s="9"/>
      <c r="C104" s="64"/>
    </row>
    <row r="105" spans="1:3">
      <c r="A105" s="9"/>
      <c r="B105" s="9"/>
      <c r="C105" s="64"/>
    </row>
    <row r="106" spans="1:3">
      <c r="A106" s="9"/>
      <c r="B106" s="9"/>
      <c r="C106" s="64"/>
    </row>
    <row r="107" spans="1:3">
      <c r="A107" s="9"/>
      <c r="B107" s="9"/>
      <c r="C107" s="64"/>
    </row>
    <row r="108" spans="1:3">
      <c r="A108" s="9"/>
      <c r="B108" s="9"/>
      <c r="C108" s="64"/>
    </row>
    <row r="109" spans="1:3">
      <c r="A109" s="9"/>
      <c r="B109" s="9"/>
      <c r="C109" s="64"/>
    </row>
    <row r="110" spans="1:3">
      <c r="A110" s="9"/>
      <c r="B110" s="9"/>
      <c r="C110" s="64"/>
    </row>
    <row r="111" spans="1:3">
      <c r="A111" s="9"/>
      <c r="B111" s="9"/>
      <c r="C111" s="64"/>
    </row>
    <row r="112" spans="1:3">
      <c r="A112" s="9"/>
      <c r="B112" s="9"/>
      <c r="C112" s="64"/>
    </row>
    <row r="113" spans="1:3">
      <c r="A113" s="9"/>
      <c r="B113" s="9"/>
      <c r="C113" s="64"/>
    </row>
    <row r="114" spans="1:3">
      <c r="A114" s="9"/>
      <c r="B114" s="9"/>
      <c r="C114" s="64"/>
    </row>
    <row r="115" spans="1:3">
      <c r="A115" s="9"/>
      <c r="B115" s="9"/>
      <c r="C115" s="64"/>
    </row>
    <row r="116" spans="1:3">
      <c r="A116" s="9"/>
      <c r="B116" s="9"/>
      <c r="C116" s="64"/>
    </row>
    <row r="117" spans="1:3">
      <c r="A117" s="9"/>
      <c r="B117" s="9"/>
      <c r="C117" s="64"/>
    </row>
    <row r="118" spans="1:3">
      <c r="A118" s="9"/>
      <c r="B118" s="9"/>
      <c r="C118" s="64"/>
    </row>
    <row r="119" spans="1:3">
      <c r="A119" s="9"/>
      <c r="B119" s="9"/>
      <c r="C119" s="64"/>
    </row>
    <row r="120" spans="1:3">
      <c r="A120" s="9"/>
      <c r="B120" s="9"/>
      <c r="C120" s="64"/>
    </row>
    <row r="121" spans="1:3">
      <c r="A121" s="9"/>
      <c r="B121" s="9"/>
      <c r="C121" s="64"/>
    </row>
    <row r="122" spans="1:3">
      <c r="A122" s="9"/>
      <c r="B122" s="9"/>
      <c r="C122" s="64"/>
    </row>
    <row r="123" spans="1:3">
      <c r="A123" s="9"/>
      <c r="B123" s="9"/>
      <c r="C123" s="64"/>
    </row>
    <row r="124" spans="1:3">
      <c r="A124" s="9"/>
      <c r="B124" s="9"/>
      <c r="C124" s="64"/>
    </row>
    <row r="125" spans="1:3">
      <c r="A125" s="9"/>
      <c r="B125" s="9"/>
      <c r="C125" s="64"/>
    </row>
    <row r="126" spans="1:3">
      <c r="A126" s="9"/>
      <c r="B126" s="9"/>
      <c r="C126" s="64"/>
    </row>
    <row r="127" spans="1:3">
      <c r="A127" s="9"/>
      <c r="B127" s="9"/>
      <c r="C127" s="64"/>
    </row>
    <row r="128" spans="1:3">
      <c r="A128" s="9"/>
      <c r="B128" s="9"/>
      <c r="C128" s="64"/>
    </row>
    <row r="129" spans="1:3">
      <c r="A129" s="9"/>
      <c r="B129" s="9"/>
      <c r="C129" s="64"/>
    </row>
    <row r="130" spans="1:3">
      <c r="A130" s="9"/>
      <c r="B130" s="9"/>
      <c r="C130" s="64"/>
    </row>
    <row r="131" spans="1:3">
      <c r="A131" s="9"/>
      <c r="B131" s="9"/>
      <c r="C131" s="64"/>
    </row>
    <row r="132" spans="1:3">
      <c r="A132" s="9"/>
      <c r="B132" s="9"/>
      <c r="C132" s="64"/>
    </row>
    <row r="133" spans="1:3">
      <c r="A133" s="9"/>
      <c r="B133" s="9"/>
      <c r="C133" s="64"/>
    </row>
    <row r="134" spans="1:3">
      <c r="A134" s="9"/>
      <c r="B134" s="9"/>
      <c r="C134" s="64"/>
    </row>
    <row r="135" spans="1:3">
      <c r="A135" s="9"/>
      <c r="B135" s="9"/>
      <c r="C135" s="64"/>
    </row>
    <row r="136" spans="1:3">
      <c r="A136" s="9"/>
      <c r="B136" s="9"/>
      <c r="C136" s="64"/>
    </row>
    <row r="137" spans="1:3">
      <c r="A137" s="9"/>
      <c r="B137" s="9"/>
      <c r="C137" s="64"/>
    </row>
    <row r="138" spans="1:3">
      <c r="A138" s="9"/>
      <c r="B138" s="9"/>
      <c r="C138" s="64"/>
    </row>
    <row r="139" spans="1:3">
      <c r="A139" s="9"/>
      <c r="B139" s="9"/>
      <c r="C139" s="64"/>
    </row>
    <row r="140" spans="1:3">
      <c r="A140" s="9"/>
      <c r="B140" s="9"/>
      <c r="C140" s="64"/>
    </row>
    <row r="141" spans="1:3">
      <c r="A141" s="9"/>
      <c r="B141" s="9"/>
      <c r="C141" s="64"/>
    </row>
    <row r="142" spans="1:3">
      <c r="A142" s="9"/>
      <c r="B142" s="9"/>
      <c r="C142" s="64"/>
    </row>
    <row r="143" spans="1:3">
      <c r="A143" s="9"/>
      <c r="B143" s="9"/>
      <c r="C143" s="64"/>
    </row>
    <row r="144" spans="1:3">
      <c r="A144" s="9"/>
      <c r="B144" s="9"/>
      <c r="C144" s="64"/>
    </row>
    <row r="145" spans="1:3">
      <c r="A145" s="9"/>
      <c r="B145" s="9"/>
      <c r="C145" s="64"/>
    </row>
    <row r="146" spans="1:3">
      <c r="A146" s="9"/>
      <c r="B146" s="9"/>
      <c r="C146" s="64"/>
    </row>
    <row r="147" spans="1:3">
      <c r="A147" s="9"/>
      <c r="B147" s="9"/>
      <c r="C147" s="64"/>
    </row>
    <row r="148" spans="1:3">
      <c r="A148" s="9"/>
      <c r="B148" s="9"/>
      <c r="C148" s="64"/>
    </row>
    <row r="149" spans="1:3">
      <c r="A149" s="9"/>
      <c r="B149" s="9"/>
      <c r="C149" s="64"/>
    </row>
    <row r="150" spans="1:3">
      <c r="A150" s="9"/>
      <c r="B150" s="9"/>
      <c r="C150" s="64"/>
    </row>
    <row r="151" spans="1:3">
      <c r="A151" s="9"/>
      <c r="B151" s="9"/>
      <c r="C151" s="64"/>
    </row>
    <row r="152" spans="1:3">
      <c r="A152" s="9"/>
      <c r="B152" s="9"/>
      <c r="C152" s="64"/>
    </row>
    <row r="153" spans="1:3">
      <c r="A153" s="9"/>
      <c r="B153" s="9"/>
      <c r="C153" s="64"/>
    </row>
    <row r="154" spans="1:3">
      <c r="A154" s="9"/>
      <c r="B154" s="9"/>
      <c r="C154" s="64"/>
    </row>
    <row r="155" spans="1:3">
      <c r="A155" s="9"/>
      <c r="B155" s="9"/>
      <c r="C155" s="64"/>
    </row>
    <row r="156" spans="1:3">
      <c r="A156" s="9"/>
      <c r="B156" s="9"/>
      <c r="C156" s="64"/>
    </row>
    <row r="157" spans="1:3">
      <c r="A157" s="9"/>
      <c r="B157" s="9"/>
      <c r="C157" s="64"/>
    </row>
    <row r="158" spans="1:3">
      <c r="A158" s="9"/>
      <c r="B158" s="9"/>
      <c r="C158" s="64"/>
    </row>
    <row r="159" spans="1:3">
      <c r="A159" s="9"/>
      <c r="B159" s="9"/>
      <c r="C159" s="64"/>
    </row>
    <row r="160" spans="1:3">
      <c r="A160" s="9"/>
      <c r="B160" s="9"/>
      <c r="C160" s="64"/>
    </row>
    <row r="161" spans="1:3">
      <c r="A161" s="9"/>
      <c r="B161" s="9"/>
      <c r="C161" s="64"/>
    </row>
    <row r="162" spans="1:3">
      <c r="A162" s="9"/>
      <c r="B162" s="9"/>
      <c r="C162" s="64"/>
    </row>
    <row r="163" spans="1:3">
      <c r="A163" s="9"/>
      <c r="B163" s="9"/>
      <c r="C163" s="64"/>
    </row>
    <row r="164" spans="1:3">
      <c r="A164" s="9"/>
      <c r="B164" s="9"/>
      <c r="C164" s="64"/>
    </row>
    <row r="165" spans="1:3">
      <c r="A165" s="9"/>
      <c r="B165" s="9"/>
      <c r="C165" s="64"/>
    </row>
    <row r="166" spans="1:3">
      <c r="A166" s="9"/>
      <c r="B166" s="9"/>
      <c r="C166" s="64"/>
    </row>
    <row r="167" spans="1:3">
      <c r="A167" s="9"/>
      <c r="B167" s="9"/>
      <c r="C167" s="64"/>
    </row>
    <row r="168" spans="1:3">
      <c r="A168" s="9"/>
      <c r="B168" s="9"/>
      <c r="C168" s="64"/>
    </row>
    <row r="169" spans="1:3">
      <c r="A169" s="9"/>
      <c r="B169" s="9"/>
      <c r="C169" s="64"/>
    </row>
    <row r="170" spans="1:3">
      <c r="A170" s="9"/>
      <c r="B170" s="9"/>
      <c r="C170" s="64"/>
    </row>
    <row r="171" spans="1:3">
      <c r="A171" s="9"/>
      <c r="B171" s="9"/>
      <c r="C171" s="64"/>
    </row>
    <row r="172" spans="1:3">
      <c r="A172" s="9"/>
      <c r="B172" s="9"/>
      <c r="C172" s="64"/>
    </row>
    <row r="173" spans="1:3">
      <c r="A173" s="9"/>
      <c r="B173" s="9"/>
      <c r="C173" s="64"/>
    </row>
    <row r="174" spans="1:3">
      <c r="A174" s="9"/>
      <c r="B174" s="9"/>
      <c r="C174" s="64"/>
    </row>
    <row r="175" spans="1:3">
      <c r="A175" s="9"/>
      <c r="B175" s="9"/>
      <c r="C175" s="64"/>
    </row>
    <row r="176" spans="1:3">
      <c r="A176" s="9"/>
      <c r="B176" s="9"/>
      <c r="C176" s="64"/>
    </row>
    <row r="177" spans="1:3">
      <c r="A177" s="9"/>
      <c r="B177" s="9"/>
      <c r="C177" s="64"/>
    </row>
    <row r="178" spans="1:3">
      <c r="A178" s="9"/>
      <c r="B178" s="9"/>
      <c r="C178" s="64"/>
    </row>
    <row r="179" spans="1:3">
      <c r="A179" s="9"/>
      <c r="B179" s="9"/>
      <c r="C179" s="64"/>
    </row>
    <row r="180" spans="1:3">
      <c r="A180" s="9"/>
      <c r="B180" s="9"/>
      <c r="C180" s="64"/>
    </row>
    <row r="181" spans="1:3">
      <c r="A181" s="9"/>
      <c r="B181" s="9"/>
      <c r="C181" s="64"/>
    </row>
    <row r="182" spans="1:3">
      <c r="A182" s="9"/>
      <c r="B182" s="9"/>
      <c r="C182" s="64"/>
    </row>
    <row r="183" spans="1:3">
      <c r="A183" s="9"/>
      <c r="B183" s="9"/>
      <c r="C183" s="64"/>
    </row>
    <row r="184" spans="1:3">
      <c r="A184" s="9"/>
      <c r="B184" s="9"/>
      <c r="C184" s="64"/>
    </row>
    <row r="185" spans="1:3">
      <c r="A185" s="9"/>
      <c r="B185" s="9"/>
      <c r="C185" s="64"/>
    </row>
    <row r="186" spans="1:3">
      <c r="A186" s="9"/>
      <c r="B186" s="9"/>
      <c r="C186" s="64"/>
    </row>
    <row r="187" spans="1:3">
      <c r="A187" s="9"/>
      <c r="B187" s="9"/>
      <c r="C187" s="64"/>
    </row>
    <row r="188" spans="1:3">
      <c r="A188" s="9"/>
      <c r="B188" s="9"/>
      <c r="C188" s="64"/>
    </row>
    <row r="189" spans="1:3">
      <c r="A189" s="9"/>
      <c r="B189" s="9"/>
      <c r="C189" s="64"/>
    </row>
    <row r="190" spans="1:3">
      <c r="A190" s="9"/>
      <c r="B190" s="9"/>
      <c r="C190" s="64"/>
    </row>
    <row r="191" spans="1:3">
      <c r="A191" s="9"/>
      <c r="B191" s="9"/>
      <c r="C191" s="64"/>
    </row>
    <row r="192" spans="1:3">
      <c r="A192" s="9"/>
      <c r="B192" s="9"/>
      <c r="C192" s="64"/>
    </row>
    <row r="193" spans="1:3">
      <c r="A193" s="9"/>
      <c r="B193" s="9"/>
      <c r="C193" s="64"/>
    </row>
    <row r="194" spans="1:3">
      <c r="A194" s="9"/>
      <c r="B194" s="9"/>
      <c r="C194" s="64"/>
    </row>
    <row r="195" spans="1:3">
      <c r="A195" s="9"/>
      <c r="B195" s="9"/>
      <c r="C195" s="64"/>
    </row>
    <row r="196" spans="1:3">
      <c r="A196" s="9"/>
      <c r="B196" s="9"/>
      <c r="C196" s="64"/>
    </row>
    <row r="197" spans="1:3">
      <c r="A197" s="9"/>
      <c r="B197" s="9"/>
      <c r="C197" s="64"/>
    </row>
    <row r="198" spans="1:3">
      <c r="A198" s="9"/>
      <c r="B198" s="9"/>
      <c r="C198" s="64"/>
    </row>
    <row r="199" spans="1:3">
      <c r="A199" s="9"/>
      <c r="B199" s="9"/>
      <c r="C199" s="64"/>
    </row>
    <row r="200" spans="1:3">
      <c r="A200" s="9"/>
      <c r="B200" s="9"/>
      <c r="C200" s="64"/>
    </row>
    <row r="201" spans="1:3">
      <c r="A201" s="9"/>
      <c r="B201" s="9"/>
      <c r="C201" s="64"/>
    </row>
    <row r="202" spans="1:3">
      <c r="A202" s="9"/>
      <c r="B202" s="9"/>
      <c r="C202" s="64"/>
    </row>
    <row r="203" spans="1:3">
      <c r="A203" s="9"/>
      <c r="B203" s="9"/>
      <c r="C203" s="64"/>
    </row>
    <row r="204" spans="1:3">
      <c r="A204" s="9"/>
      <c r="B204" s="9"/>
      <c r="C204" s="64"/>
    </row>
    <row r="205" spans="1:3">
      <c r="A205" s="9"/>
      <c r="B205" s="9"/>
      <c r="C205" s="64"/>
    </row>
    <row r="206" spans="1:3">
      <c r="A206" s="9"/>
      <c r="B206" s="9"/>
      <c r="C206" s="64"/>
    </row>
    <row r="207" spans="1:3">
      <c r="A207" s="9"/>
      <c r="B207" s="9"/>
      <c r="C207" s="64"/>
    </row>
    <row r="208" spans="1:3">
      <c r="A208" s="9"/>
      <c r="B208" s="9"/>
      <c r="C208" s="64"/>
    </row>
    <row r="209" spans="1:3">
      <c r="A209" s="9"/>
      <c r="B209" s="9"/>
      <c r="C209" s="64"/>
    </row>
    <row r="210" spans="1:3">
      <c r="A210" s="9"/>
      <c r="B210" s="9"/>
      <c r="C210" s="64"/>
    </row>
    <row r="211" spans="1:3">
      <c r="A211" s="9"/>
      <c r="B211" s="9"/>
      <c r="C211" s="64"/>
    </row>
    <row r="212" spans="1:3">
      <c r="A212" s="9"/>
      <c r="B212" s="9"/>
      <c r="C212" s="64"/>
    </row>
    <row r="213" spans="1:3">
      <c r="A213" s="9"/>
      <c r="B213" s="9"/>
      <c r="C213" s="64"/>
    </row>
    <row r="214" spans="1:3">
      <c r="A214" s="9"/>
      <c r="B214" s="9"/>
      <c r="C214" s="64"/>
    </row>
    <row r="215" spans="1:3">
      <c r="A215" s="9"/>
      <c r="B215" s="9"/>
      <c r="C215" s="64"/>
    </row>
    <row r="216" spans="1:3">
      <c r="A216" s="9"/>
      <c r="B216" s="9"/>
      <c r="C216" s="64"/>
    </row>
    <row r="217" spans="1:3">
      <c r="A217" s="9"/>
      <c r="B217" s="9"/>
      <c r="C217" s="64"/>
    </row>
    <row r="218" spans="1:3">
      <c r="A218" s="9"/>
      <c r="B218" s="9"/>
      <c r="C218" s="64"/>
    </row>
    <row r="219" spans="1:3">
      <c r="A219" s="9"/>
      <c r="B219" s="9"/>
      <c r="C219" s="64"/>
    </row>
    <row r="220" spans="1:3">
      <c r="A220" s="9"/>
      <c r="B220" s="9"/>
      <c r="C220" s="64"/>
    </row>
    <row r="221" spans="1:3">
      <c r="A221" s="9"/>
      <c r="B221" s="9"/>
      <c r="C221" s="64"/>
    </row>
    <row r="222" spans="1:3">
      <c r="A222" s="9"/>
      <c r="B222" s="9"/>
      <c r="C222" s="64"/>
    </row>
    <row r="223" spans="1:3">
      <c r="A223" s="9"/>
      <c r="B223" s="9"/>
      <c r="C223" s="64"/>
    </row>
    <row r="224" spans="1:3">
      <c r="A224" s="9"/>
      <c r="B224" s="9"/>
      <c r="C224" s="64"/>
    </row>
    <row r="225" spans="1:3">
      <c r="A225" s="9"/>
      <c r="B225" s="9"/>
      <c r="C225" s="64"/>
    </row>
    <row r="226" spans="1:3">
      <c r="A226" s="9"/>
      <c r="B226" s="9"/>
      <c r="C226" s="64"/>
    </row>
    <row r="227" spans="1:3">
      <c r="A227" s="9"/>
      <c r="B227" s="9"/>
      <c r="C227" s="64"/>
    </row>
    <row r="228" spans="1:3">
      <c r="A228" s="9"/>
      <c r="B228" s="9"/>
      <c r="C228" s="64"/>
    </row>
    <row r="229" spans="1:3">
      <c r="A229" s="9"/>
      <c r="B229" s="9"/>
      <c r="C229" s="64"/>
    </row>
    <row r="230" spans="1:3">
      <c r="A230" s="9"/>
      <c r="B230" s="9"/>
      <c r="C230" s="64"/>
    </row>
    <row r="231" spans="1:3">
      <c r="A231" s="9"/>
      <c r="B231" s="9"/>
      <c r="C231" s="64"/>
    </row>
    <row r="232" spans="1:3">
      <c r="A232" s="9"/>
      <c r="B232" s="9"/>
      <c r="C232" s="64"/>
    </row>
    <row r="233" spans="1:3">
      <c r="A233" s="9"/>
      <c r="B233" s="9"/>
      <c r="C233" s="64"/>
    </row>
    <row r="234" spans="1:3">
      <c r="A234" s="9"/>
      <c r="B234" s="9"/>
      <c r="C234" s="64"/>
    </row>
    <row r="235" spans="1:3">
      <c r="A235" s="9"/>
      <c r="B235" s="9"/>
      <c r="C235" s="64"/>
    </row>
    <row r="236" spans="1:3">
      <c r="A236" s="9"/>
      <c r="B236" s="9"/>
      <c r="C236" s="64"/>
    </row>
    <row r="237" spans="1:3">
      <c r="A237" s="9"/>
      <c r="B237" s="9"/>
      <c r="C237" s="64"/>
    </row>
    <row r="238" spans="1:3">
      <c r="A238" s="9"/>
      <c r="B238" s="9"/>
      <c r="C238" s="64"/>
    </row>
    <row r="239" spans="1:3">
      <c r="A239" s="9"/>
      <c r="B239" s="9"/>
      <c r="C239" s="64"/>
    </row>
    <row r="240" spans="1:3">
      <c r="A240" s="9"/>
      <c r="B240" s="9"/>
      <c r="C240" s="64"/>
    </row>
    <row r="241" spans="1:3">
      <c r="A241" s="9"/>
      <c r="B241" s="9"/>
      <c r="C241" s="64"/>
    </row>
    <row r="242" spans="1:3">
      <c r="A242" s="9"/>
      <c r="B242" s="9"/>
      <c r="C242" s="64"/>
    </row>
    <row r="243" spans="1:3">
      <c r="A243" s="9"/>
      <c r="B243" s="9"/>
      <c r="C243" s="64"/>
    </row>
    <row r="244" spans="1:3">
      <c r="A244" s="9"/>
      <c r="B244" s="9"/>
      <c r="C244" s="64"/>
    </row>
    <row r="245" spans="1:3">
      <c r="A245" s="9"/>
      <c r="B245" s="9"/>
      <c r="C245" s="64"/>
    </row>
    <row r="246" spans="1:3">
      <c r="A246" s="9"/>
      <c r="B246" s="9"/>
      <c r="C246" s="64"/>
    </row>
    <row r="247" spans="1:3">
      <c r="A247" s="9"/>
      <c r="B247" s="9"/>
      <c r="C247" s="64"/>
    </row>
    <row r="248" spans="1:3">
      <c r="A248" s="9"/>
      <c r="B248" s="9"/>
      <c r="C248" s="64"/>
    </row>
    <row r="249" spans="1:3">
      <c r="A249" s="9"/>
      <c r="B249" s="9"/>
      <c r="C249" s="64"/>
    </row>
    <row r="250" spans="1:3">
      <c r="A250" s="9"/>
      <c r="B250" s="9"/>
      <c r="C250" s="64"/>
    </row>
    <row r="251" spans="1:3">
      <c r="A251" s="9"/>
      <c r="B251" s="9"/>
      <c r="C251" s="64"/>
    </row>
    <row r="252" spans="1:3">
      <c r="A252" s="9"/>
      <c r="B252" s="9"/>
      <c r="C252" s="64"/>
    </row>
    <row r="253" spans="1:3">
      <c r="A253" s="9"/>
      <c r="B253" s="9"/>
      <c r="C253" s="64"/>
    </row>
    <row r="254" spans="1:3">
      <c r="A254" s="9"/>
      <c r="B254" s="9"/>
      <c r="C254" s="64"/>
    </row>
    <row r="255" spans="1:3">
      <c r="A255" s="9"/>
      <c r="B255" s="9"/>
      <c r="C255" s="64"/>
    </row>
    <row r="256" spans="1:3">
      <c r="A256" s="9"/>
      <c r="B256" s="9"/>
      <c r="C256" s="64"/>
    </row>
    <row r="257" spans="1:3">
      <c r="A257" s="9"/>
      <c r="B257" s="9"/>
      <c r="C257" s="64"/>
    </row>
    <row r="258" spans="1:3">
      <c r="A258" s="9"/>
      <c r="B258" s="9"/>
      <c r="C258" s="64"/>
    </row>
    <row r="259" spans="1:3">
      <c r="A259" s="9"/>
      <c r="B259" s="9"/>
      <c r="C259" s="64"/>
    </row>
    <row r="260" spans="1:3">
      <c r="A260" s="9"/>
      <c r="B260" s="9"/>
      <c r="C260" s="64"/>
    </row>
    <row r="261" spans="1:3">
      <c r="A261" s="9"/>
      <c r="B261" s="9"/>
      <c r="C261" s="64"/>
    </row>
    <row r="262" spans="1:3">
      <c r="A262" s="9"/>
      <c r="B262" s="9"/>
      <c r="C262" s="64"/>
    </row>
    <row r="263" spans="1:3">
      <c r="A263" s="9"/>
      <c r="B263" s="9"/>
      <c r="C263" s="64"/>
    </row>
    <row r="264" spans="1:3">
      <c r="A264" s="9"/>
      <c r="B264" s="9"/>
      <c r="C264" s="64"/>
    </row>
    <row r="265" spans="1:3">
      <c r="A265" s="9"/>
      <c r="B265" s="9"/>
      <c r="C265" s="64"/>
    </row>
    <row r="266" spans="1:3">
      <c r="A266" s="9"/>
      <c r="B266" s="9"/>
      <c r="C266" s="64"/>
    </row>
    <row r="267" spans="1:3">
      <c r="A267" s="9"/>
      <c r="B267" s="9"/>
      <c r="C267" s="64"/>
    </row>
    <row r="268" spans="1:3">
      <c r="A268" s="9"/>
      <c r="B268" s="9"/>
      <c r="C268" s="64"/>
    </row>
    <row r="269" spans="1:3">
      <c r="A269" s="9"/>
      <c r="B269" s="9"/>
      <c r="C269" s="64"/>
    </row>
    <row r="270" spans="1:3">
      <c r="A270" s="9"/>
      <c r="B270" s="9"/>
      <c r="C270" s="64"/>
    </row>
    <row r="271" spans="1:3">
      <c r="A271" s="9"/>
      <c r="B271" s="9"/>
      <c r="C271" s="64"/>
    </row>
    <row r="272" spans="1:3">
      <c r="A272" s="9"/>
      <c r="B272" s="9"/>
      <c r="C272" s="64"/>
    </row>
    <row r="273" spans="1:3">
      <c r="A273" s="9"/>
      <c r="B273" s="9"/>
      <c r="C273" s="64"/>
    </row>
    <row r="274" spans="1:3">
      <c r="A274" s="9"/>
      <c r="B274" s="9"/>
      <c r="C274" s="64"/>
    </row>
    <row r="275" spans="1:3">
      <c r="A275" s="9"/>
      <c r="B275" s="9"/>
      <c r="C275" s="64"/>
    </row>
    <row r="276" spans="1:3">
      <c r="A276" s="9"/>
      <c r="B276" s="9"/>
      <c r="C276" s="64"/>
    </row>
    <row r="277" spans="1:3">
      <c r="A277" s="9"/>
      <c r="B277" s="9"/>
      <c r="C277" s="64"/>
    </row>
    <row r="278" spans="1:3">
      <c r="A278" s="9"/>
      <c r="B278" s="9"/>
      <c r="C278" s="64"/>
    </row>
    <row r="279" spans="1:3">
      <c r="A279" s="9"/>
      <c r="B279" s="9"/>
      <c r="C279" s="64"/>
    </row>
    <row r="280" spans="1:3">
      <c r="A280" s="9"/>
      <c r="B280" s="9"/>
      <c r="C280" s="64"/>
    </row>
    <row r="281" spans="1:3">
      <c r="A281" s="9"/>
      <c r="B281" s="9"/>
      <c r="C281" s="64"/>
    </row>
    <row r="282" spans="1:3">
      <c r="A282" s="9"/>
      <c r="B282" s="9"/>
      <c r="C282" s="64"/>
    </row>
    <row r="283" spans="1:3">
      <c r="A283" s="9"/>
      <c r="B283" s="9"/>
      <c r="C283" s="64"/>
    </row>
    <row r="284" spans="1:3">
      <c r="A284" s="9"/>
      <c r="B284" s="9"/>
      <c r="C284" s="64"/>
    </row>
    <row r="285" spans="1:3">
      <c r="A285" s="9"/>
      <c r="B285" s="9"/>
      <c r="C285" s="64"/>
    </row>
    <row r="286" spans="1:3">
      <c r="A286" s="9"/>
      <c r="B286" s="9"/>
      <c r="C286" s="64"/>
    </row>
    <row r="287" spans="1:3">
      <c r="A287" s="9"/>
      <c r="B287" s="9"/>
      <c r="C287" s="64"/>
    </row>
    <row r="288" spans="1:3">
      <c r="A288" s="9"/>
      <c r="B288" s="9"/>
      <c r="C288" s="64"/>
    </row>
    <row r="289" spans="1:3">
      <c r="A289" s="9"/>
      <c r="B289" s="9"/>
      <c r="C289" s="64"/>
    </row>
    <row r="290" spans="1:3">
      <c r="A290" s="9"/>
      <c r="B290" s="9"/>
      <c r="C290" s="64"/>
    </row>
    <row r="291" spans="1:3">
      <c r="A291" s="9"/>
      <c r="B291" s="9"/>
      <c r="C291" s="64"/>
    </row>
    <row r="292" spans="1:3">
      <c r="A292" s="9"/>
      <c r="B292" s="9"/>
      <c r="C292" s="64"/>
    </row>
    <row r="293" spans="1:3">
      <c r="A293" s="9"/>
      <c r="B293" s="9"/>
      <c r="C293" s="64"/>
    </row>
    <row r="294" spans="1:3">
      <c r="A294" s="9"/>
      <c r="B294" s="9"/>
      <c r="C294" s="64"/>
    </row>
    <row r="295" spans="1:3">
      <c r="A295" s="9"/>
      <c r="B295" s="9"/>
      <c r="C295" s="64"/>
    </row>
    <row r="296" spans="1:3">
      <c r="A296" s="9"/>
      <c r="B296" s="9"/>
      <c r="C296" s="64"/>
    </row>
    <row r="297" spans="1:3">
      <c r="A297" s="9"/>
      <c r="B297" s="9"/>
      <c r="C297" s="64"/>
    </row>
    <row r="298" spans="1:3">
      <c r="A298" s="9"/>
      <c r="B298" s="9"/>
      <c r="C298" s="64"/>
    </row>
    <row r="299" spans="1:3">
      <c r="A299" s="9"/>
      <c r="B299" s="9"/>
      <c r="C299" s="64"/>
    </row>
    <row r="300" spans="1:3">
      <c r="A300" s="9"/>
      <c r="B300" s="9"/>
      <c r="C300" s="64"/>
    </row>
    <row r="301" spans="1:3">
      <c r="A301" s="9"/>
      <c r="B301" s="9"/>
      <c r="C301" s="64"/>
    </row>
    <row r="302" spans="1:3">
      <c r="A302" s="9"/>
      <c r="B302" s="9"/>
      <c r="C302" s="64"/>
    </row>
    <row r="303" spans="1:3">
      <c r="A303" s="9"/>
      <c r="B303" s="9"/>
      <c r="C303" s="64"/>
    </row>
    <row r="304" spans="1:3">
      <c r="A304" s="9"/>
      <c r="B304" s="9"/>
      <c r="C304" s="64"/>
    </row>
    <row r="305" spans="1:3">
      <c r="A305" s="9"/>
      <c r="B305" s="9"/>
      <c r="C305" s="64"/>
    </row>
    <row r="306" spans="1:3">
      <c r="A306" s="9"/>
      <c r="B306" s="9"/>
      <c r="C306" s="64"/>
    </row>
    <row r="307" spans="1:3">
      <c r="A307" s="9"/>
      <c r="B307" s="9"/>
      <c r="C307" s="64"/>
    </row>
    <row r="308" spans="1:3">
      <c r="A308" s="9"/>
      <c r="B308" s="9"/>
      <c r="C308" s="64"/>
    </row>
    <row r="309" spans="1:3">
      <c r="A309" s="9"/>
      <c r="B309" s="9"/>
      <c r="C309" s="64"/>
    </row>
    <row r="310" spans="1:3">
      <c r="A310" s="9"/>
      <c r="B310" s="9"/>
      <c r="C310" s="64"/>
    </row>
    <row r="311" spans="1:3">
      <c r="A311" s="9"/>
      <c r="B311" s="9"/>
      <c r="C311" s="64"/>
    </row>
    <row r="312" spans="1:3">
      <c r="A312" s="9"/>
      <c r="B312" s="9"/>
      <c r="C312" s="64"/>
    </row>
    <row r="313" spans="1:3">
      <c r="A313" s="9"/>
      <c r="B313" s="9"/>
      <c r="C313" s="64"/>
    </row>
    <row r="314" spans="1:3">
      <c r="A314" s="9"/>
      <c r="B314" s="9"/>
      <c r="C314" s="64"/>
    </row>
    <row r="315" spans="1:3">
      <c r="A315" s="9"/>
      <c r="B315" s="9"/>
      <c r="C315" s="64"/>
    </row>
    <row r="316" spans="1:3">
      <c r="A316" s="9"/>
      <c r="B316" s="9"/>
      <c r="C316" s="64"/>
    </row>
    <row r="317" spans="1:3">
      <c r="A317" s="9"/>
      <c r="B317" s="9"/>
      <c r="C317" s="64"/>
    </row>
    <row r="318" spans="1:3">
      <c r="A318" s="9"/>
      <c r="B318" s="9"/>
      <c r="C318" s="64"/>
    </row>
    <row r="319" spans="1:3">
      <c r="A319" s="9"/>
      <c r="B319" s="9"/>
      <c r="C319" s="64"/>
    </row>
    <row r="320" spans="1:3">
      <c r="A320" s="9"/>
      <c r="B320" s="9"/>
      <c r="C320" s="64"/>
    </row>
    <row r="321" spans="1:3">
      <c r="A321" s="9"/>
      <c r="B321" s="9"/>
      <c r="C321" s="64"/>
    </row>
    <row r="322" spans="1:3">
      <c r="A322" s="9"/>
      <c r="B322" s="9"/>
      <c r="C322" s="64"/>
    </row>
    <row r="323" spans="1:3">
      <c r="A323" s="9"/>
      <c r="B323" s="9"/>
      <c r="C323" s="64"/>
    </row>
    <row r="324" spans="1:3">
      <c r="A324" s="9"/>
      <c r="B324" s="9"/>
      <c r="C324" s="64"/>
    </row>
    <row r="325" spans="1:3">
      <c r="A325" s="9"/>
      <c r="B325" s="9"/>
      <c r="C325" s="64"/>
    </row>
    <row r="326" spans="1:3">
      <c r="A326" s="9"/>
      <c r="B326" s="9"/>
      <c r="C326" s="64"/>
    </row>
    <row r="327" spans="1:3">
      <c r="A327" s="9"/>
      <c r="B327" s="9"/>
      <c r="C327" s="64"/>
    </row>
    <row r="328" spans="1:3">
      <c r="A328" s="9"/>
      <c r="B328" s="9"/>
      <c r="C328" s="64"/>
    </row>
    <row r="329" spans="1:3">
      <c r="A329" s="9"/>
      <c r="B329" s="9"/>
      <c r="C329" s="64"/>
    </row>
    <row r="330" spans="1:3">
      <c r="A330" s="9"/>
      <c r="B330" s="9"/>
      <c r="C330" s="64"/>
    </row>
    <row r="331" spans="1:3">
      <c r="A331" s="9"/>
      <c r="B331" s="9"/>
      <c r="C331" s="64"/>
    </row>
    <row r="332" spans="1:3">
      <c r="A332" s="9"/>
      <c r="B332" s="9"/>
      <c r="C332" s="64"/>
    </row>
    <row r="333" spans="1:3">
      <c r="A333" s="9"/>
      <c r="B333" s="9"/>
      <c r="C333" s="64"/>
    </row>
    <row r="334" spans="1:3">
      <c r="A334" s="9"/>
      <c r="B334" s="9"/>
      <c r="C334" s="64"/>
    </row>
    <row r="335" spans="1:3">
      <c r="A335" s="9"/>
      <c r="B335" s="9"/>
      <c r="C335" s="64"/>
    </row>
    <row r="336" spans="1:3">
      <c r="A336" s="9"/>
      <c r="B336" s="9"/>
      <c r="C336" s="64"/>
    </row>
    <row r="337" spans="1:3">
      <c r="A337" s="9"/>
      <c r="B337" s="9"/>
      <c r="C337" s="64"/>
    </row>
    <row r="338" spans="1:3">
      <c r="A338" s="9"/>
      <c r="B338" s="9"/>
      <c r="C338" s="64"/>
    </row>
    <row r="339" spans="1:3">
      <c r="A339" s="9"/>
      <c r="B339" s="9"/>
      <c r="C339" s="64"/>
    </row>
    <row r="340" spans="1:3">
      <c r="A340" s="9"/>
      <c r="B340" s="9"/>
      <c r="C340" s="64"/>
    </row>
    <row r="341" spans="1:3">
      <c r="A341" s="9"/>
      <c r="B341" s="9"/>
      <c r="C341" s="64"/>
    </row>
    <row r="342" spans="1:3">
      <c r="A342" s="9"/>
      <c r="B342" s="9"/>
      <c r="C342" s="64"/>
    </row>
    <row r="343" spans="1:3">
      <c r="A343" s="9"/>
      <c r="B343" s="9"/>
      <c r="C343" s="64"/>
    </row>
    <row r="344" spans="1:3">
      <c r="A344" s="9"/>
      <c r="B344" s="9"/>
      <c r="C344" s="64"/>
    </row>
    <row r="345" spans="1:3">
      <c r="A345" s="9"/>
      <c r="B345" s="9"/>
      <c r="C345" s="64"/>
    </row>
    <row r="346" spans="1:3">
      <c r="A346" s="9"/>
      <c r="B346" s="9"/>
      <c r="C346" s="64"/>
    </row>
    <row r="347" spans="1:3">
      <c r="A347" s="9"/>
      <c r="B347" s="9"/>
      <c r="C347" s="64"/>
    </row>
    <row r="348" spans="1:3">
      <c r="A348" s="9"/>
      <c r="B348" s="9"/>
      <c r="C348" s="64"/>
    </row>
    <row r="349" spans="1:3">
      <c r="A349" s="9"/>
      <c r="B349" s="9"/>
      <c r="C349" s="64"/>
    </row>
    <row r="350" spans="1:3">
      <c r="A350" s="9"/>
      <c r="B350" s="9"/>
      <c r="C350" s="64"/>
    </row>
    <row r="351" spans="1:3">
      <c r="A351" s="9"/>
      <c r="B351" s="9"/>
      <c r="C351" s="64"/>
    </row>
    <row r="352" spans="1:3">
      <c r="A352" s="9"/>
      <c r="B352" s="9"/>
      <c r="C352" s="64"/>
    </row>
    <row r="353" spans="1:3">
      <c r="A353" s="9"/>
      <c r="B353" s="9"/>
      <c r="C353" s="64"/>
    </row>
    <row r="354" spans="1:3">
      <c r="A354" s="9"/>
      <c r="B354" s="9"/>
      <c r="C354" s="64"/>
    </row>
    <row r="355" spans="1:3">
      <c r="A355" s="9"/>
      <c r="B355" s="9"/>
      <c r="C355" s="64"/>
    </row>
    <row r="356" spans="1:3">
      <c r="A356" s="9"/>
      <c r="B356" s="9"/>
      <c r="C356" s="64"/>
    </row>
    <row r="357" spans="1:3">
      <c r="A357" s="9"/>
      <c r="B357" s="9"/>
      <c r="C357" s="64"/>
    </row>
    <row r="358" spans="1:3">
      <c r="A358" s="9"/>
      <c r="B358" s="9"/>
      <c r="C358" s="64"/>
    </row>
    <row r="359" spans="1:3">
      <c r="A359" s="9"/>
      <c r="B359" s="9"/>
      <c r="C359" s="64"/>
    </row>
    <row r="360" spans="1:3">
      <c r="A360" s="9"/>
      <c r="B360" s="9"/>
      <c r="C360" s="64"/>
    </row>
    <row r="361" spans="1:3">
      <c r="A361" s="9"/>
      <c r="B361" s="9"/>
      <c r="C361" s="64"/>
    </row>
    <row r="362" spans="1:3">
      <c r="A362" s="9"/>
      <c r="B362" s="9"/>
      <c r="C362" s="64"/>
    </row>
    <row r="363" spans="1:3">
      <c r="A363" s="9"/>
      <c r="B363" s="9"/>
      <c r="C363" s="64"/>
    </row>
    <row r="364" spans="1:3">
      <c r="A364" s="9"/>
      <c r="B364" s="9"/>
      <c r="C364" s="64"/>
    </row>
    <row r="365" spans="1:3">
      <c r="A365" s="9"/>
      <c r="B365" s="9"/>
      <c r="C365" s="64"/>
    </row>
    <row r="366" spans="1:3">
      <c r="A366" s="9"/>
      <c r="B366" s="9"/>
      <c r="C366" s="64"/>
    </row>
    <row r="367" spans="1:3">
      <c r="A367" s="9"/>
      <c r="B367" s="9"/>
      <c r="C367" s="64"/>
    </row>
    <row r="368" spans="1:3">
      <c r="A368" s="9"/>
      <c r="B368" s="9"/>
      <c r="C368" s="64"/>
    </row>
    <row r="369" spans="1:3">
      <c r="A369" s="9"/>
      <c r="B369" s="9"/>
      <c r="C369" s="64"/>
    </row>
    <row r="370" spans="1:3">
      <c r="A370" s="9"/>
      <c r="B370" s="9"/>
      <c r="C370" s="64"/>
    </row>
    <row r="371" spans="1:3">
      <c r="A371" s="9"/>
      <c r="B371" s="9"/>
      <c r="C371" s="64"/>
    </row>
    <row r="372" spans="1:3">
      <c r="A372" s="9"/>
      <c r="B372" s="9"/>
      <c r="C372" s="64"/>
    </row>
    <row r="373" spans="1:3">
      <c r="A373" s="9"/>
      <c r="B373" s="9"/>
      <c r="C373" s="64"/>
    </row>
    <row r="374" spans="1:3">
      <c r="A374" s="9"/>
      <c r="B374" s="9"/>
      <c r="C374" s="64"/>
    </row>
    <row r="375" spans="1:3">
      <c r="A375" s="9"/>
      <c r="B375" s="9"/>
      <c r="C375" s="64"/>
    </row>
    <row r="376" spans="1:3">
      <c r="A376" s="9"/>
      <c r="B376" s="9"/>
      <c r="C376" s="64"/>
    </row>
    <row r="377" spans="1:3">
      <c r="A377" s="9"/>
      <c r="B377" s="9"/>
      <c r="C377" s="64"/>
    </row>
    <row r="378" spans="1:3">
      <c r="A378" s="9"/>
      <c r="B378" s="9"/>
      <c r="C378" s="64"/>
    </row>
    <row r="379" spans="1:3">
      <c r="A379" s="9"/>
      <c r="B379" s="9"/>
      <c r="C379" s="64"/>
    </row>
    <row r="380" spans="1:3">
      <c r="A380" s="9"/>
      <c r="B380" s="9"/>
      <c r="C380" s="64"/>
    </row>
    <row r="381" spans="1:3">
      <c r="A381" s="9"/>
      <c r="B381" s="9"/>
      <c r="C381" s="64"/>
    </row>
    <row r="382" spans="1:3">
      <c r="A382" s="9"/>
      <c r="B382" s="9"/>
      <c r="C382" s="64"/>
    </row>
    <row r="383" spans="1:3">
      <c r="A383" s="9"/>
      <c r="B383" s="9"/>
      <c r="C383" s="64"/>
    </row>
    <row r="384" spans="1:3">
      <c r="A384" s="9"/>
      <c r="B384" s="9"/>
      <c r="C384" s="64"/>
    </row>
    <row r="385" spans="1:3">
      <c r="A385" s="9"/>
      <c r="B385" s="9"/>
      <c r="C385" s="64"/>
    </row>
    <row r="386" spans="1:3">
      <c r="A386" s="9"/>
      <c r="B386" s="9"/>
      <c r="C386" s="64"/>
    </row>
    <row r="387" spans="1:3">
      <c r="A387" s="9"/>
      <c r="B387" s="9"/>
      <c r="C387" s="64"/>
    </row>
    <row r="388" spans="1:3">
      <c r="A388" s="9"/>
      <c r="B388" s="9"/>
      <c r="C388" s="64"/>
    </row>
    <row r="389" spans="1:3">
      <c r="A389" s="9"/>
      <c r="B389" s="9"/>
      <c r="C389" s="64"/>
    </row>
    <row r="390" spans="1:3">
      <c r="A390" s="9"/>
      <c r="B390" s="9"/>
      <c r="C390" s="64"/>
    </row>
    <row r="391" spans="1:3">
      <c r="A391" s="9"/>
      <c r="B391" s="9"/>
      <c r="C391" s="64"/>
    </row>
    <row r="392" spans="1:3">
      <c r="A392" s="9"/>
      <c r="B392" s="9"/>
      <c r="C392" s="64"/>
    </row>
    <row r="393" spans="1:3">
      <c r="A393" s="9"/>
      <c r="B393" s="9"/>
      <c r="C393" s="64"/>
    </row>
    <row r="394" spans="1:3">
      <c r="A394" s="9"/>
      <c r="B394" s="9"/>
      <c r="C394" s="64"/>
    </row>
    <row r="395" spans="1:3">
      <c r="A395" s="9"/>
      <c r="B395" s="9"/>
      <c r="C395" s="64"/>
    </row>
    <row r="396" spans="1:3">
      <c r="A396" s="9"/>
      <c r="B396" s="9"/>
      <c r="C396" s="64"/>
    </row>
    <row r="397" spans="1:3">
      <c r="A397" s="9"/>
      <c r="B397" s="9"/>
      <c r="C397" s="64"/>
    </row>
    <row r="398" spans="1:3">
      <c r="A398" s="9"/>
      <c r="B398" s="9"/>
      <c r="C398" s="64"/>
    </row>
    <row r="399" spans="1:3">
      <c r="A399" s="9"/>
      <c r="B399" s="9"/>
      <c r="C399" s="64"/>
    </row>
    <row r="400" spans="1:3">
      <c r="A400" s="9"/>
      <c r="B400" s="9"/>
      <c r="C400" s="64"/>
    </row>
    <row r="401" spans="1:3">
      <c r="A401" s="9"/>
      <c r="B401" s="9"/>
      <c r="C401" s="64"/>
    </row>
    <row r="402" spans="1:3">
      <c r="A402" s="9"/>
      <c r="B402" s="9"/>
      <c r="C402" s="64"/>
    </row>
    <row r="403" spans="1:3">
      <c r="A403" s="9"/>
      <c r="B403" s="9"/>
      <c r="C403" s="64"/>
    </row>
    <row r="404" spans="1:3">
      <c r="A404" s="9"/>
      <c r="B404" s="9"/>
      <c r="C404" s="64"/>
    </row>
    <row r="405" spans="1:3">
      <c r="A405" s="9"/>
      <c r="B405" s="9"/>
      <c r="C405" s="64"/>
    </row>
    <row r="406" spans="1:3">
      <c r="A406" s="9"/>
      <c r="B406" s="9"/>
      <c r="C406" s="64"/>
    </row>
    <row r="407" spans="1:3">
      <c r="A407" s="9"/>
      <c r="B407" s="9"/>
      <c r="C407" s="64"/>
    </row>
    <row r="408" spans="1:3">
      <c r="A408" s="9"/>
      <c r="B408" s="9"/>
      <c r="C408" s="64"/>
    </row>
    <row r="409" spans="1:3">
      <c r="A409" s="9"/>
      <c r="B409" s="9"/>
      <c r="C409" s="64"/>
    </row>
    <row r="410" spans="1:3">
      <c r="A410" s="9"/>
      <c r="B410" s="9"/>
      <c r="C410" s="64"/>
    </row>
    <row r="411" spans="1:3">
      <c r="A411" s="9"/>
      <c r="B411" s="9"/>
      <c r="C411" s="64"/>
    </row>
    <row r="412" spans="1:3">
      <c r="A412" s="9"/>
      <c r="B412" s="9"/>
      <c r="C412" s="64"/>
    </row>
    <row r="413" spans="1:3">
      <c r="A413" s="9"/>
      <c r="B413" s="9"/>
      <c r="C413" s="64"/>
    </row>
    <row r="414" spans="1:3">
      <c r="A414" s="9"/>
      <c r="B414" s="9"/>
      <c r="C414" s="64"/>
    </row>
    <row r="415" spans="1:3">
      <c r="A415" s="9"/>
      <c r="B415" s="9"/>
      <c r="C415" s="64"/>
    </row>
    <row r="416" spans="1:3">
      <c r="A416" s="9"/>
      <c r="B416" s="9"/>
      <c r="C416" s="64"/>
    </row>
    <row r="417" spans="1:3">
      <c r="A417" s="9"/>
      <c r="B417" s="9"/>
      <c r="C417" s="64"/>
    </row>
    <row r="418" spans="1:3">
      <c r="A418" s="9"/>
      <c r="B418" s="9"/>
      <c r="C418" s="64"/>
    </row>
    <row r="419" spans="1:3">
      <c r="A419" s="9"/>
      <c r="B419" s="9"/>
      <c r="C419" s="64"/>
    </row>
    <row r="420" spans="1:3">
      <c r="A420" s="9"/>
      <c r="B420" s="9"/>
      <c r="C420" s="64"/>
    </row>
    <row r="421" spans="1:3">
      <c r="A421" s="9"/>
      <c r="B421" s="9"/>
      <c r="C421" s="64"/>
    </row>
    <row r="422" spans="1:3">
      <c r="A422" s="9"/>
      <c r="B422" s="9"/>
      <c r="C422" s="64"/>
    </row>
    <row r="423" spans="1:3">
      <c r="A423" s="9"/>
      <c r="B423" s="9"/>
      <c r="C423" s="64"/>
    </row>
    <row r="424" spans="1:3">
      <c r="A424" s="9"/>
      <c r="B424" s="9"/>
      <c r="C424" s="64"/>
    </row>
    <row r="425" spans="1:3">
      <c r="A425" s="9"/>
      <c r="B425" s="9"/>
      <c r="C425" s="64"/>
    </row>
    <row r="426" spans="1:3">
      <c r="A426" s="9"/>
      <c r="B426" s="9"/>
      <c r="C426" s="64"/>
    </row>
    <row r="427" spans="1:3">
      <c r="A427" s="9"/>
      <c r="B427" s="9"/>
      <c r="C427" s="64"/>
    </row>
    <row r="428" spans="1:3">
      <c r="A428" s="9"/>
      <c r="B428" s="9"/>
      <c r="C428" s="64"/>
    </row>
    <row r="429" spans="1:3">
      <c r="A429" s="9"/>
      <c r="B429" s="9"/>
      <c r="C429" s="64"/>
    </row>
    <row r="430" spans="1:3">
      <c r="A430" s="9"/>
      <c r="B430" s="9"/>
      <c r="C430" s="64"/>
    </row>
    <row r="431" spans="1:3">
      <c r="A431" s="9"/>
      <c r="B431" s="9"/>
      <c r="C431" s="64"/>
    </row>
    <row r="432" spans="1:3">
      <c r="A432" s="9"/>
      <c r="B432" s="9"/>
      <c r="C432" s="64"/>
    </row>
    <row r="433" spans="1:3">
      <c r="A433" s="9"/>
      <c r="B433" s="9"/>
      <c r="C433" s="64"/>
    </row>
    <row r="434" spans="1:3">
      <c r="A434" s="9"/>
      <c r="B434" s="9"/>
      <c r="C434" s="64"/>
    </row>
    <row r="435" spans="1:3">
      <c r="A435" s="9"/>
      <c r="B435" s="9"/>
      <c r="C435" s="64"/>
    </row>
    <row r="436" spans="1:3">
      <c r="A436" s="9"/>
      <c r="B436" s="9"/>
      <c r="C436" s="64"/>
    </row>
    <row r="437" spans="1:3">
      <c r="A437" s="9"/>
      <c r="B437" s="9"/>
      <c r="C437" s="64"/>
    </row>
    <row r="438" spans="1:3">
      <c r="A438" s="9"/>
      <c r="B438" s="9"/>
      <c r="C438" s="64"/>
    </row>
    <row r="439" spans="1:3">
      <c r="A439" s="9"/>
      <c r="B439" s="9"/>
      <c r="C439" s="64"/>
    </row>
    <row r="440" spans="1:3">
      <c r="A440" s="9"/>
      <c r="B440" s="9"/>
      <c r="C440" s="64"/>
    </row>
    <row r="441" spans="1:3">
      <c r="A441" s="9"/>
      <c r="B441" s="9"/>
      <c r="C441" s="64"/>
    </row>
    <row r="442" spans="1:3">
      <c r="A442" s="9"/>
      <c r="B442" s="9"/>
      <c r="C442" s="64"/>
    </row>
    <row r="443" spans="1:3">
      <c r="A443" s="9"/>
      <c r="B443" s="9"/>
      <c r="C443" s="64"/>
    </row>
    <row r="444" spans="1:3">
      <c r="A444" s="9"/>
      <c r="B444" s="9"/>
      <c r="C444" s="64"/>
    </row>
    <row r="445" spans="1:3">
      <c r="A445" s="9"/>
      <c r="B445" s="9"/>
      <c r="C445" s="64"/>
    </row>
    <row r="446" spans="1:3">
      <c r="A446" s="9"/>
      <c r="B446" s="9"/>
      <c r="C446" s="64"/>
    </row>
    <row r="447" spans="1:3">
      <c r="A447" s="9"/>
      <c r="B447" s="9"/>
      <c r="C447" s="64"/>
    </row>
    <row r="448" spans="1:3">
      <c r="A448" s="9"/>
      <c r="B448" s="9"/>
      <c r="C448" s="64"/>
    </row>
    <row r="449" spans="1:3">
      <c r="A449" s="9"/>
      <c r="B449" s="9"/>
      <c r="C449" s="64"/>
    </row>
    <row r="450" spans="1:3">
      <c r="A450" s="9"/>
      <c r="B450" s="9"/>
      <c r="C450" s="64"/>
    </row>
    <row r="451" spans="1:3">
      <c r="A451" s="9"/>
      <c r="B451" s="9"/>
      <c r="C451" s="64"/>
    </row>
    <row r="452" spans="1:3">
      <c r="A452" s="9"/>
      <c r="B452" s="9"/>
      <c r="C452" s="64"/>
    </row>
    <row r="453" spans="1:3">
      <c r="A453" s="9"/>
      <c r="B453" s="9"/>
      <c r="C453" s="64"/>
    </row>
    <row r="454" spans="1:3">
      <c r="A454" s="9"/>
      <c r="B454" s="9"/>
      <c r="C454" s="64"/>
    </row>
    <row r="455" spans="1:3">
      <c r="A455" s="9"/>
      <c r="B455" s="9"/>
      <c r="C455" s="64"/>
    </row>
    <row r="456" spans="1:3">
      <c r="A456" s="9"/>
      <c r="B456" s="9"/>
      <c r="C456" s="64"/>
    </row>
    <row r="457" spans="1:3">
      <c r="A457" s="9"/>
      <c r="B457" s="9"/>
      <c r="C457" s="64"/>
    </row>
    <row r="458" spans="1:3">
      <c r="A458" s="9"/>
      <c r="B458" s="9"/>
      <c r="C458" s="64"/>
    </row>
    <row r="459" spans="1:3">
      <c r="A459" s="9"/>
      <c r="B459" s="9"/>
      <c r="C459" s="64"/>
    </row>
    <row r="460" spans="1:3">
      <c r="A460" s="9"/>
      <c r="B460" s="9"/>
      <c r="C460" s="64"/>
    </row>
    <row r="461" spans="1:3">
      <c r="A461" s="9"/>
      <c r="B461" s="9"/>
      <c r="C461" s="64"/>
    </row>
    <row r="462" spans="1:3">
      <c r="A462" s="9"/>
      <c r="B462" s="9"/>
      <c r="C462" s="64"/>
    </row>
    <row r="463" spans="1:3">
      <c r="A463" s="9"/>
      <c r="B463" s="9"/>
      <c r="C463" s="64"/>
    </row>
    <row r="464" spans="1:3">
      <c r="A464" s="9"/>
      <c r="B464" s="9"/>
      <c r="C464" s="64"/>
    </row>
    <row r="465" spans="1:3">
      <c r="A465" s="9"/>
      <c r="B465" s="9"/>
      <c r="C465" s="64"/>
    </row>
    <row r="466" spans="1:3">
      <c r="A466" s="9"/>
      <c r="B466" s="9"/>
      <c r="C466" s="64"/>
    </row>
    <row r="467" spans="1:3">
      <c r="A467" s="9"/>
      <c r="B467" s="9"/>
      <c r="C467" s="64"/>
    </row>
    <row r="468" spans="1:3">
      <c r="A468" s="9"/>
      <c r="B468" s="9"/>
      <c r="C468" s="64"/>
    </row>
    <row r="469" spans="1:3">
      <c r="A469" s="9"/>
      <c r="B469" s="9"/>
      <c r="C469" s="64"/>
    </row>
    <row r="470" spans="1:3">
      <c r="A470" s="9"/>
      <c r="B470" s="9"/>
      <c r="C470" s="64"/>
    </row>
    <row r="471" spans="1:3">
      <c r="A471" s="9"/>
      <c r="B471" s="9"/>
      <c r="C471" s="64"/>
    </row>
    <row r="472" spans="1:3">
      <c r="A472" s="9"/>
      <c r="B472" s="9"/>
      <c r="C472" s="64"/>
    </row>
    <row r="473" spans="1:3">
      <c r="A473" s="9"/>
      <c r="B473" s="9"/>
      <c r="C473" s="64"/>
    </row>
    <row r="474" spans="1:3">
      <c r="A474" s="9"/>
      <c r="B474" s="9"/>
      <c r="C474" s="64"/>
    </row>
    <row r="475" spans="1:3">
      <c r="A475" s="9"/>
      <c r="B475" s="9"/>
      <c r="C475" s="64"/>
    </row>
    <row r="476" spans="1:3">
      <c r="A476" s="9"/>
      <c r="B476" s="9"/>
      <c r="C476" s="64"/>
    </row>
    <row r="477" spans="1:3">
      <c r="A477" s="9"/>
      <c r="B477" s="9"/>
      <c r="C477" s="64"/>
    </row>
    <row r="478" spans="1:3">
      <c r="A478" s="9"/>
      <c r="B478" s="9"/>
      <c r="C478" s="64"/>
    </row>
    <row r="479" spans="1:3">
      <c r="A479" s="9"/>
      <c r="B479" s="9"/>
      <c r="C479" s="64"/>
    </row>
    <row r="480" spans="1:3">
      <c r="A480" s="9"/>
      <c r="B480" s="9"/>
      <c r="C480" s="64"/>
    </row>
    <row r="481" spans="1:3">
      <c r="A481" s="9"/>
      <c r="B481" s="9"/>
      <c r="C481" s="64"/>
    </row>
    <row r="482" spans="1:3">
      <c r="A482" s="9"/>
      <c r="B482" s="9"/>
      <c r="C482" s="64"/>
    </row>
    <row r="483" spans="1:3">
      <c r="A483" s="9"/>
      <c r="B483" s="9"/>
      <c r="C483" s="64"/>
    </row>
    <row r="484" spans="1:3">
      <c r="A484" s="9"/>
      <c r="B484" s="9"/>
      <c r="C484" s="64"/>
    </row>
    <row r="485" spans="1:3">
      <c r="A485" s="9"/>
      <c r="B485" s="9"/>
      <c r="C485" s="64"/>
    </row>
    <row r="486" spans="1:3">
      <c r="A486" s="9"/>
      <c r="B486" s="9"/>
      <c r="C486" s="64"/>
    </row>
    <row r="487" spans="1:3">
      <c r="A487" s="9"/>
      <c r="B487" s="9"/>
      <c r="C487" s="64"/>
    </row>
    <row r="488" spans="1:3">
      <c r="A488" s="9"/>
      <c r="B488" s="9"/>
      <c r="C488" s="64"/>
    </row>
    <row r="489" spans="1:3">
      <c r="A489" s="9"/>
      <c r="B489" s="9"/>
      <c r="C489" s="64"/>
    </row>
    <row r="490" spans="1:3">
      <c r="A490" s="9"/>
      <c r="B490" s="9"/>
      <c r="C490" s="64"/>
    </row>
    <row r="491" spans="1:3">
      <c r="A491" s="9"/>
      <c r="B491" s="9"/>
      <c r="C491" s="64"/>
    </row>
    <row r="492" spans="1:3">
      <c r="A492" s="9"/>
      <c r="B492" s="9"/>
      <c r="C492" s="64"/>
    </row>
    <row r="493" spans="1:3">
      <c r="A493" s="9"/>
      <c r="B493" s="9"/>
      <c r="C493" s="64"/>
    </row>
    <row r="494" spans="1:3">
      <c r="A494" s="9"/>
      <c r="B494" s="9"/>
      <c r="C494" s="64"/>
    </row>
    <row r="495" spans="1:3">
      <c r="A495" s="9"/>
      <c r="B495" s="9"/>
      <c r="C495" s="64"/>
    </row>
    <row r="496" spans="1:3">
      <c r="A496" s="9"/>
      <c r="B496" s="9"/>
      <c r="C496" s="64"/>
    </row>
    <row r="497" spans="1:3">
      <c r="A497" s="9"/>
      <c r="B497" s="9"/>
      <c r="C497" s="64"/>
    </row>
    <row r="498" spans="1:3">
      <c r="A498" s="9"/>
      <c r="B498" s="9"/>
      <c r="C498" s="64"/>
    </row>
    <row r="499" spans="1:3">
      <c r="A499" s="9"/>
      <c r="B499" s="9"/>
      <c r="C499" s="64"/>
    </row>
    <row r="500" spans="1:3">
      <c r="A500" s="9"/>
      <c r="B500" s="9"/>
      <c r="C500" s="64"/>
    </row>
    <row r="501" spans="1:3">
      <c r="A501" s="9"/>
      <c r="B501" s="9"/>
      <c r="C501" s="64"/>
    </row>
    <row r="502" spans="1:3">
      <c r="A502" s="9"/>
      <c r="B502" s="9"/>
      <c r="C502" s="64"/>
    </row>
    <row r="503" spans="1:3">
      <c r="A503" s="9"/>
      <c r="B503" s="9"/>
      <c r="C503" s="64"/>
    </row>
    <row r="504" spans="1:3">
      <c r="A504" s="9"/>
      <c r="B504" s="9"/>
      <c r="C504" s="64"/>
    </row>
    <row r="505" spans="1:3">
      <c r="A505" s="9"/>
      <c r="B505" s="9"/>
      <c r="C505" s="64"/>
    </row>
    <row r="506" spans="1:3">
      <c r="A506" s="9"/>
      <c r="B506" s="9"/>
      <c r="C506" s="64"/>
    </row>
    <row r="507" spans="1:3">
      <c r="A507" s="9"/>
      <c r="B507" s="9"/>
      <c r="C507" s="64"/>
    </row>
    <row r="508" spans="1:3">
      <c r="A508" s="9"/>
      <c r="B508" s="9"/>
      <c r="C508" s="64"/>
    </row>
    <row r="509" spans="1:3">
      <c r="A509" s="9"/>
      <c r="B509" s="9"/>
      <c r="C509" s="64"/>
    </row>
    <row r="510" spans="1:3">
      <c r="A510" s="9"/>
      <c r="B510" s="9"/>
      <c r="C510" s="64"/>
    </row>
    <row r="511" spans="1:3">
      <c r="A511" s="9"/>
      <c r="B511" s="9"/>
      <c r="C511" s="64"/>
    </row>
    <row r="512" spans="1:3">
      <c r="A512" s="9"/>
      <c r="B512" s="9"/>
      <c r="C512" s="64"/>
    </row>
    <row r="513" spans="1:3">
      <c r="A513" s="9"/>
      <c r="B513" s="9"/>
      <c r="C513" s="64"/>
    </row>
    <row r="514" spans="1:3">
      <c r="A514" s="9"/>
      <c r="B514" s="9"/>
      <c r="C514" s="64"/>
    </row>
    <row r="515" spans="1:3">
      <c r="A515" s="9"/>
      <c r="B515" s="9"/>
      <c r="C515" s="64"/>
    </row>
    <row r="516" spans="1:3">
      <c r="A516" s="9"/>
      <c r="B516" s="9"/>
      <c r="C516" s="64"/>
    </row>
    <row r="517" spans="1:3">
      <c r="A517" s="9"/>
      <c r="B517" s="9"/>
      <c r="C517" s="64"/>
    </row>
    <row r="518" spans="1:3">
      <c r="A518" s="9"/>
      <c r="B518" s="9"/>
      <c r="C518" s="64"/>
    </row>
    <row r="519" spans="1:3">
      <c r="A519" s="9"/>
      <c r="B519" s="9"/>
      <c r="C519" s="64"/>
    </row>
    <row r="520" spans="1:3">
      <c r="A520" s="9"/>
      <c r="B520" s="9"/>
      <c r="C520" s="64"/>
    </row>
    <row r="521" spans="1:3">
      <c r="A521" s="9"/>
      <c r="B521" s="9"/>
      <c r="C521" s="64"/>
    </row>
    <row r="522" spans="1:3">
      <c r="A522" s="9"/>
      <c r="B522" s="9"/>
      <c r="C522" s="64"/>
    </row>
    <row r="523" spans="1:3">
      <c r="A523" s="9"/>
      <c r="B523" s="9"/>
      <c r="C523" s="64"/>
    </row>
    <row r="524" spans="1:3">
      <c r="A524" s="9"/>
      <c r="B524" s="9"/>
      <c r="C524" s="64"/>
    </row>
    <row r="525" spans="1:3">
      <c r="A525" s="9"/>
      <c r="B525" s="9"/>
      <c r="C525" s="64"/>
    </row>
    <row r="526" spans="1:3">
      <c r="A526" s="9"/>
      <c r="B526" s="9"/>
      <c r="C526" s="64"/>
    </row>
    <row r="527" spans="1:3">
      <c r="A527" s="9"/>
      <c r="B527" s="9"/>
      <c r="C527" s="64"/>
    </row>
    <row r="528" spans="1:3">
      <c r="A528" s="9"/>
      <c r="B528" s="9"/>
      <c r="C528" s="64"/>
    </row>
    <row r="529" spans="1:3">
      <c r="A529" s="9"/>
      <c r="B529" s="9"/>
      <c r="C529" s="64"/>
    </row>
    <row r="530" spans="1:3">
      <c r="A530" s="9"/>
      <c r="B530" s="9"/>
      <c r="C530" s="64"/>
    </row>
    <row r="531" spans="1:3">
      <c r="A531" s="9"/>
      <c r="B531" s="9"/>
      <c r="C531" s="64"/>
    </row>
    <row r="532" spans="1:3">
      <c r="A532" s="9"/>
      <c r="B532" s="9"/>
      <c r="C532" s="64"/>
    </row>
    <row r="533" spans="1:3">
      <c r="A533" s="9"/>
      <c r="B533" s="9"/>
      <c r="C533" s="64"/>
    </row>
    <row r="534" spans="1:3">
      <c r="A534" s="9"/>
      <c r="B534" s="9"/>
      <c r="C534" s="64"/>
    </row>
    <row r="535" spans="1:3">
      <c r="A535" s="9"/>
      <c r="B535" s="9"/>
      <c r="C535" s="64"/>
    </row>
    <row r="536" spans="1:3">
      <c r="A536" s="9"/>
      <c r="B536" s="9"/>
      <c r="C536" s="64"/>
    </row>
    <row r="537" spans="1:3">
      <c r="A537" s="9"/>
      <c r="B537" s="9"/>
      <c r="C537" s="64"/>
    </row>
    <row r="538" spans="1:3">
      <c r="A538" s="9"/>
      <c r="B538" s="9"/>
      <c r="C538" s="64"/>
    </row>
    <row r="539" spans="1:3">
      <c r="A539" s="9"/>
      <c r="B539" s="9"/>
      <c r="C539" s="64"/>
    </row>
    <row r="540" spans="1:3">
      <c r="A540" s="9"/>
      <c r="B540" s="9"/>
      <c r="C540" s="64"/>
    </row>
    <row r="541" spans="1:3">
      <c r="A541" s="9"/>
      <c r="B541" s="9"/>
      <c r="C541" s="64"/>
    </row>
    <row r="542" spans="1:3">
      <c r="A542" s="9"/>
      <c r="B542" s="9"/>
      <c r="C542" s="64"/>
    </row>
    <row r="543" spans="1:3">
      <c r="A543" s="9"/>
      <c r="B543" s="9"/>
      <c r="C543" s="64"/>
    </row>
    <row r="544" spans="1:3">
      <c r="A544" s="9"/>
      <c r="B544" s="9"/>
      <c r="C544" s="64"/>
    </row>
    <row r="545" spans="1:3">
      <c r="A545" s="9"/>
      <c r="B545" s="9"/>
      <c r="C545" s="64"/>
    </row>
    <row r="546" spans="1:3">
      <c r="A546" s="9"/>
      <c r="B546" s="9"/>
      <c r="C546" s="64"/>
    </row>
    <row r="547" spans="1:3">
      <c r="A547" s="9"/>
      <c r="B547" s="9"/>
      <c r="C547" s="64"/>
    </row>
    <row r="548" spans="1:3">
      <c r="A548" s="9"/>
      <c r="B548" s="9"/>
      <c r="C548" s="64"/>
    </row>
    <row r="549" spans="1:3">
      <c r="A549" s="9"/>
      <c r="B549" s="9"/>
      <c r="C549" s="64"/>
    </row>
    <row r="550" spans="1:3">
      <c r="A550" s="9"/>
      <c r="B550" s="9"/>
      <c r="C550" s="64"/>
    </row>
    <row r="551" spans="1:3">
      <c r="A551" s="9"/>
      <c r="B551" s="9"/>
      <c r="C551" s="64"/>
    </row>
    <row r="552" spans="1:3">
      <c r="A552" s="9"/>
      <c r="B552" s="9"/>
      <c r="C552" s="64"/>
    </row>
    <row r="553" spans="1:3">
      <c r="A553" s="9"/>
      <c r="B553" s="9"/>
      <c r="C553" s="64"/>
    </row>
    <row r="554" spans="1:3">
      <c r="A554" s="9"/>
      <c r="B554" s="9"/>
      <c r="C554" s="64"/>
    </row>
    <row r="555" spans="1:3">
      <c r="A555" s="9"/>
      <c r="B555" s="9"/>
      <c r="C555" s="64"/>
    </row>
    <row r="556" spans="1:3">
      <c r="A556" s="9"/>
      <c r="B556" s="9"/>
      <c r="C556" s="64"/>
    </row>
    <row r="557" spans="1:3">
      <c r="A557" s="9"/>
      <c r="B557" s="9"/>
      <c r="C557" s="64"/>
    </row>
    <row r="558" spans="1:3">
      <c r="A558" s="9"/>
      <c r="B558" s="9"/>
      <c r="C558" s="64"/>
    </row>
    <row r="559" spans="1:3">
      <c r="A559" s="9"/>
      <c r="B559" s="9"/>
      <c r="C559" s="64"/>
    </row>
    <row r="560" spans="1:3">
      <c r="A560" s="9"/>
      <c r="B560" s="9"/>
      <c r="C560" s="64"/>
    </row>
    <row r="561" spans="1:3">
      <c r="A561" s="9"/>
      <c r="B561" s="9"/>
      <c r="C561" s="64"/>
    </row>
    <row r="562" spans="1:3">
      <c r="A562" s="9"/>
      <c r="B562" s="9"/>
      <c r="C562" s="64"/>
    </row>
    <row r="563" spans="1:3">
      <c r="A563" s="9"/>
      <c r="B563" s="9"/>
      <c r="C563" s="64"/>
    </row>
    <row r="564" spans="1:3">
      <c r="A564" s="9"/>
      <c r="B564" s="9"/>
      <c r="C564" s="64"/>
    </row>
    <row r="565" spans="1:3">
      <c r="A565" s="9"/>
      <c r="B565" s="9"/>
      <c r="C565" s="64"/>
    </row>
    <row r="566" spans="1:3">
      <c r="A566" s="9"/>
      <c r="B566" s="9"/>
      <c r="C566" s="64"/>
    </row>
    <row r="567" spans="1:3">
      <c r="A567" s="9"/>
      <c r="B567" s="9"/>
      <c r="C567" s="64"/>
    </row>
    <row r="568" spans="1:3">
      <c r="A568" s="9"/>
      <c r="B568" s="9"/>
      <c r="C568" s="64"/>
    </row>
    <row r="569" spans="1:3">
      <c r="A569" s="9"/>
      <c r="B569" s="9"/>
      <c r="C569" s="64"/>
    </row>
    <row r="570" spans="1:3">
      <c r="A570" s="9"/>
      <c r="B570" s="9"/>
      <c r="C570" s="64"/>
    </row>
    <row r="571" spans="1:3">
      <c r="A571" s="9"/>
      <c r="B571" s="9"/>
      <c r="C571" s="64"/>
    </row>
    <row r="572" spans="1:3">
      <c r="A572" s="9"/>
      <c r="B572" s="9"/>
      <c r="C572" s="64"/>
    </row>
    <row r="573" spans="1:3">
      <c r="A573" s="9"/>
      <c r="B573" s="9"/>
      <c r="C573" s="64"/>
    </row>
    <row r="574" spans="1:3">
      <c r="A574" s="9"/>
      <c r="B574" s="9"/>
      <c r="C574" s="64"/>
    </row>
    <row r="575" spans="1:3">
      <c r="A575" s="9"/>
      <c r="B575" s="9"/>
      <c r="C575" s="64"/>
    </row>
    <row r="576" spans="1:3">
      <c r="A576" s="9"/>
      <c r="B576" s="9"/>
      <c r="C576" s="64"/>
    </row>
    <row r="577" spans="1:3">
      <c r="A577" s="9"/>
      <c r="B577" s="9"/>
      <c r="C577" s="64"/>
    </row>
    <row r="578" spans="1:3">
      <c r="A578" s="9"/>
      <c r="B578" s="9"/>
      <c r="C578" s="64"/>
    </row>
    <row r="579" spans="1:3">
      <c r="A579" s="9"/>
      <c r="B579" s="9"/>
      <c r="C579" s="64"/>
    </row>
    <row r="580" spans="1:3">
      <c r="A580" s="9"/>
      <c r="B580" s="9"/>
      <c r="C580" s="64"/>
    </row>
    <row r="581" spans="1:3">
      <c r="A581" s="9"/>
      <c r="B581" s="9"/>
      <c r="C581" s="64"/>
    </row>
    <row r="582" spans="1:3">
      <c r="A582" s="9"/>
      <c r="B582" s="9"/>
      <c r="C582" s="64"/>
    </row>
    <row r="583" spans="1:3">
      <c r="A583" s="9"/>
      <c r="B583" s="9"/>
      <c r="C583" s="64"/>
    </row>
    <row r="584" spans="1:3">
      <c r="A584" s="9"/>
      <c r="B584" s="9"/>
      <c r="C584" s="64"/>
    </row>
    <row r="585" spans="1:3">
      <c r="A585" s="9"/>
      <c r="B585" s="9"/>
      <c r="C585" s="64"/>
    </row>
    <row r="586" spans="1:3">
      <c r="A586" s="9"/>
      <c r="B586" s="9"/>
      <c r="C586" s="64"/>
    </row>
    <row r="587" spans="1:3">
      <c r="A587" s="9"/>
      <c r="B587" s="9"/>
      <c r="C587" s="64"/>
    </row>
    <row r="588" spans="1:3">
      <c r="A588" s="9"/>
      <c r="B588" s="9"/>
      <c r="C588" s="64"/>
    </row>
    <row r="589" spans="1:3">
      <c r="A589" s="9"/>
      <c r="B589" s="9"/>
      <c r="C589" s="64"/>
    </row>
    <row r="590" spans="1:3">
      <c r="A590" s="9"/>
      <c r="B590" s="9"/>
      <c r="C590" s="64"/>
    </row>
    <row r="591" spans="1:3">
      <c r="A591" s="9"/>
      <c r="B591" s="9"/>
      <c r="C591" s="64"/>
    </row>
    <row r="592" spans="1:3">
      <c r="A592" s="9"/>
      <c r="B592" s="9"/>
      <c r="C592" s="64"/>
    </row>
    <row r="593" spans="1:3">
      <c r="A593" s="9"/>
      <c r="B593" s="9"/>
      <c r="C593" s="64"/>
    </row>
    <row r="594" spans="1:3">
      <c r="A594" s="9"/>
      <c r="B594" s="9"/>
      <c r="C594" s="64"/>
    </row>
    <row r="595" spans="1:3">
      <c r="A595" s="9"/>
      <c r="B595" s="9"/>
      <c r="C595" s="64"/>
    </row>
    <row r="596" spans="1:3">
      <c r="A596" s="9"/>
      <c r="B596" s="9"/>
      <c r="C596" s="64"/>
    </row>
    <row r="597" spans="1:3">
      <c r="A597" s="9"/>
      <c r="B597" s="9"/>
      <c r="C597" s="64"/>
    </row>
    <row r="598" spans="1:3">
      <c r="A598" s="9"/>
      <c r="B598" s="9"/>
      <c r="C598" s="64"/>
    </row>
    <row r="599" spans="1:3">
      <c r="A599" s="9"/>
      <c r="B599" s="9"/>
      <c r="C599" s="64"/>
    </row>
    <row r="600" spans="1:3">
      <c r="A600" s="9"/>
      <c r="B600" s="9"/>
      <c r="C600" s="64"/>
    </row>
    <row r="601" spans="1:3">
      <c r="A601" s="9"/>
      <c r="B601" s="9"/>
      <c r="C601" s="64"/>
    </row>
    <row r="602" spans="1:3">
      <c r="A602" s="9"/>
      <c r="B602" s="9"/>
      <c r="C602" s="64"/>
    </row>
    <row r="603" spans="1:3">
      <c r="A603" s="9"/>
      <c r="B603" s="9"/>
      <c r="C603" s="64"/>
    </row>
    <row r="604" spans="1:3">
      <c r="A604" s="9"/>
      <c r="B604" s="9"/>
      <c r="C604" s="64"/>
    </row>
    <row r="605" spans="1:3">
      <c r="A605" s="9"/>
      <c r="B605" s="9"/>
      <c r="C605" s="64"/>
    </row>
    <row r="606" spans="1:3">
      <c r="A606" s="9"/>
      <c r="B606" s="9"/>
      <c r="C606" s="64"/>
    </row>
    <row r="607" spans="1:3">
      <c r="A607" s="9"/>
      <c r="B607" s="9"/>
      <c r="C607" s="64"/>
    </row>
    <row r="608" spans="1:3">
      <c r="A608" s="9"/>
      <c r="B608" s="9"/>
      <c r="C608" s="64"/>
    </row>
    <row r="609" spans="1:3">
      <c r="A609" s="9"/>
      <c r="B609" s="9"/>
      <c r="C609" s="64"/>
    </row>
    <row r="610" spans="1:3">
      <c r="A610" s="9"/>
      <c r="B610" s="9"/>
      <c r="C610" s="64"/>
    </row>
    <row r="611" spans="1:3">
      <c r="A611" s="9"/>
      <c r="B611" s="9"/>
      <c r="C611" s="64"/>
    </row>
    <row r="612" spans="1:3">
      <c r="A612" s="9"/>
      <c r="B612" s="9"/>
      <c r="C612" s="64"/>
    </row>
    <row r="613" spans="1:3">
      <c r="A613" s="9"/>
      <c r="B613" s="9"/>
      <c r="C613" s="64"/>
    </row>
    <row r="614" spans="1:3">
      <c r="A614" s="9"/>
      <c r="B614" s="9"/>
      <c r="C614" s="64"/>
    </row>
    <row r="615" spans="1:3">
      <c r="A615" s="9"/>
      <c r="B615" s="9"/>
      <c r="C615" s="64"/>
    </row>
    <row r="616" spans="1:3">
      <c r="A616" s="9"/>
      <c r="B616" s="9"/>
      <c r="C616" s="64"/>
    </row>
    <row r="617" spans="1:3">
      <c r="A617" s="9"/>
      <c r="B617" s="9"/>
      <c r="C617" s="64"/>
    </row>
    <row r="618" spans="1:3">
      <c r="A618" s="9"/>
      <c r="B618" s="9"/>
      <c r="C618" s="64"/>
    </row>
    <row r="619" spans="1:3">
      <c r="A619" s="9"/>
      <c r="B619" s="9"/>
      <c r="C619" s="64"/>
    </row>
    <row r="620" spans="1:3">
      <c r="A620" s="9"/>
      <c r="B620" s="9"/>
      <c r="C620" s="64"/>
    </row>
    <row r="621" spans="1:3">
      <c r="A621" s="9"/>
      <c r="B621" s="9"/>
      <c r="C621" s="64"/>
    </row>
    <row r="622" spans="1:3">
      <c r="A622" s="9"/>
      <c r="B622" s="9"/>
      <c r="C622" s="64"/>
    </row>
    <row r="623" spans="1:3">
      <c r="A623" s="9"/>
      <c r="B623" s="9"/>
      <c r="C623" s="64"/>
    </row>
    <row r="624" spans="1:3">
      <c r="A624" s="9"/>
      <c r="B624" s="9"/>
      <c r="C624" s="64"/>
    </row>
    <row r="625" spans="1:3">
      <c r="A625" s="9"/>
      <c r="B625" s="9"/>
      <c r="C625" s="64"/>
    </row>
    <row r="626" spans="1:3">
      <c r="A626" s="9"/>
      <c r="B626" s="9"/>
      <c r="C626" s="64"/>
    </row>
    <row r="627" spans="1:3">
      <c r="A627" s="9"/>
      <c r="B627" s="9"/>
      <c r="C627" s="64"/>
    </row>
    <row r="628" spans="1:3">
      <c r="A628" s="9"/>
      <c r="B628" s="9"/>
      <c r="C628" s="64"/>
    </row>
    <row r="629" spans="1:3">
      <c r="A629" s="9"/>
      <c r="B629" s="9"/>
      <c r="C629" s="64"/>
    </row>
    <row r="630" spans="1:3">
      <c r="A630" s="9"/>
      <c r="B630" s="9"/>
      <c r="C630" s="64"/>
    </row>
    <row r="631" spans="1:3">
      <c r="A631" s="9"/>
      <c r="B631" s="9"/>
      <c r="C631" s="64"/>
    </row>
    <row r="632" spans="1:3">
      <c r="A632" s="9"/>
      <c r="B632" s="9"/>
      <c r="C632" s="64"/>
    </row>
    <row r="633" spans="1:3">
      <c r="A633" s="9"/>
      <c r="B633" s="9"/>
      <c r="C633" s="64"/>
    </row>
    <row r="634" spans="1:3">
      <c r="A634" s="9"/>
      <c r="B634" s="9"/>
      <c r="C634" s="64"/>
    </row>
    <row r="635" spans="1:3">
      <c r="A635" s="9"/>
      <c r="B635" s="9"/>
      <c r="C635" s="64"/>
    </row>
    <row r="636" spans="1:3">
      <c r="A636" s="9"/>
      <c r="B636" s="9"/>
      <c r="C636" s="64"/>
    </row>
    <row r="637" spans="1:3">
      <c r="A637" s="9"/>
      <c r="B637" s="9"/>
      <c r="C637" s="64"/>
    </row>
    <row r="638" spans="1:3">
      <c r="A638" s="9"/>
      <c r="B638" s="9"/>
      <c r="C638" s="64"/>
    </row>
    <row r="639" spans="1:3">
      <c r="A639" s="9"/>
      <c r="B639" s="9"/>
      <c r="C639" s="64"/>
    </row>
    <row r="640" spans="1:3">
      <c r="A640" s="9"/>
      <c r="B640" s="9"/>
      <c r="C640" s="64"/>
    </row>
    <row r="641" spans="1:3">
      <c r="A641" s="9"/>
      <c r="B641" s="9"/>
      <c r="C641" s="64"/>
    </row>
    <row r="642" spans="1:3">
      <c r="A642" s="9"/>
      <c r="B642" s="9"/>
      <c r="C642" s="64"/>
    </row>
    <row r="643" spans="1:3">
      <c r="A643" s="9"/>
      <c r="B643" s="9"/>
      <c r="C643" s="64"/>
    </row>
    <row r="644" spans="1:3">
      <c r="A644" s="9"/>
      <c r="B644" s="9"/>
      <c r="C644" s="64"/>
    </row>
    <row r="645" spans="1:3">
      <c r="A645" s="9"/>
      <c r="B645" s="9"/>
      <c r="C645" s="64"/>
    </row>
    <row r="646" spans="1:3">
      <c r="A646" s="9"/>
      <c r="B646" s="9"/>
      <c r="C646" s="64"/>
    </row>
    <row r="647" spans="1:3">
      <c r="A647" s="9"/>
      <c r="B647" s="9"/>
      <c r="C647" s="64"/>
    </row>
    <row r="648" spans="1:3">
      <c r="A648" s="9"/>
      <c r="B648" s="9"/>
      <c r="C648" s="64"/>
    </row>
    <row r="649" spans="1:3">
      <c r="A649" s="9"/>
      <c r="B649" s="9"/>
      <c r="C649" s="64"/>
    </row>
    <row r="650" spans="1:3">
      <c r="A650" s="9"/>
      <c r="B650" s="9"/>
      <c r="C650" s="64"/>
    </row>
    <row r="651" spans="1:3">
      <c r="A651" s="9"/>
      <c r="B651" s="9"/>
      <c r="C651" s="64"/>
    </row>
    <row r="652" spans="1:3">
      <c r="A652" s="9"/>
      <c r="B652" s="9"/>
      <c r="C652" s="64"/>
    </row>
    <row r="653" spans="1:3">
      <c r="A653" s="9"/>
      <c r="B653" s="9"/>
      <c r="C653" s="64"/>
    </row>
    <row r="654" spans="1:3">
      <c r="A654" s="9"/>
      <c r="B654" s="9"/>
      <c r="C654" s="64"/>
    </row>
    <row r="655" spans="1:3">
      <c r="A655" s="9"/>
      <c r="B655" s="9"/>
      <c r="C655" s="64"/>
    </row>
    <row r="656" spans="1:3">
      <c r="A656" s="9"/>
      <c r="B656" s="9"/>
      <c r="C656" s="64"/>
    </row>
    <row r="657" spans="1:3">
      <c r="A657" s="9"/>
      <c r="B657" s="9"/>
      <c r="C657" s="64"/>
    </row>
    <row r="658" spans="1:3">
      <c r="A658" s="9"/>
      <c r="B658" s="9"/>
      <c r="C658" s="64"/>
    </row>
    <row r="659" spans="1:3">
      <c r="A659" s="9"/>
      <c r="B659" s="9"/>
      <c r="C659" s="64"/>
    </row>
    <row r="660" spans="1:3">
      <c r="A660" s="9"/>
      <c r="B660" s="9"/>
      <c r="C660" s="64"/>
    </row>
    <row r="661" spans="1:3">
      <c r="A661" s="9"/>
      <c r="B661" s="9"/>
      <c r="C661" s="64"/>
    </row>
    <row r="662" spans="1:3">
      <c r="A662" s="9"/>
      <c r="B662" s="9"/>
      <c r="C662" s="64"/>
    </row>
    <row r="663" spans="1:3">
      <c r="A663" s="9"/>
      <c r="B663" s="9"/>
      <c r="C663" s="64"/>
    </row>
    <row r="664" spans="1:3">
      <c r="A664" s="9"/>
      <c r="B664" s="9"/>
      <c r="C664" s="64"/>
    </row>
    <row r="665" spans="1:3">
      <c r="A665" s="9"/>
      <c r="B665" s="9"/>
      <c r="C665" s="64"/>
    </row>
    <row r="666" spans="1:3">
      <c r="A666" s="9"/>
      <c r="B666" s="9"/>
      <c r="C666" s="64"/>
    </row>
    <row r="667" spans="1:3">
      <c r="A667" s="9"/>
      <c r="B667" s="9"/>
      <c r="C667" s="64"/>
    </row>
    <row r="668" spans="1:3">
      <c r="A668" s="9"/>
      <c r="B668" s="9"/>
      <c r="C668" s="64"/>
    </row>
    <row r="669" spans="1:3">
      <c r="A669" s="9"/>
      <c r="B669" s="9"/>
      <c r="C669" s="64"/>
    </row>
    <row r="670" spans="1:3">
      <c r="A670" s="9"/>
      <c r="B670" s="9"/>
      <c r="C670" s="64"/>
    </row>
    <row r="671" spans="1:3">
      <c r="A671" s="9"/>
      <c r="B671" s="9"/>
      <c r="C671" s="64"/>
    </row>
    <row r="672" spans="1:3">
      <c r="A672" s="9"/>
      <c r="B672" s="9"/>
      <c r="C672" s="64"/>
    </row>
    <row r="673" spans="1:3">
      <c r="A673" s="9"/>
      <c r="B673" s="9"/>
      <c r="C673" s="64"/>
    </row>
    <row r="674" spans="1:3">
      <c r="A674" s="9"/>
      <c r="B674" s="9"/>
      <c r="C674" s="64"/>
    </row>
    <row r="675" spans="1:3">
      <c r="A675" s="9"/>
      <c r="B675" s="9"/>
      <c r="C675" s="64"/>
    </row>
    <row r="676" spans="1:3">
      <c r="A676" s="9"/>
      <c r="B676" s="9"/>
      <c r="C676" s="64"/>
    </row>
    <row r="677" spans="1:3">
      <c r="A677" s="9"/>
      <c r="B677" s="9"/>
      <c r="C677" s="64"/>
    </row>
    <row r="678" spans="1:3">
      <c r="A678" s="9"/>
      <c r="B678" s="9"/>
      <c r="C678" s="64"/>
    </row>
    <row r="679" spans="1:3">
      <c r="A679" s="9"/>
      <c r="B679" s="9"/>
      <c r="C679" s="64"/>
    </row>
    <row r="680" spans="1:3">
      <c r="A680" s="9"/>
      <c r="B680" s="9"/>
      <c r="C680" s="64"/>
    </row>
    <row r="681" spans="1:3">
      <c r="A681" s="9"/>
      <c r="B681" s="9"/>
      <c r="C681" s="64"/>
    </row>
    <row r="682" spans="1:3">
      <c r="A682" s="9"/>
      <c r="B682" s="9"/>
      <c r="C682" s="64"/>
    </row>
    <row r="683" spans="1:3">
      <c r="A683" s="9"/>
      <c r="B683" s="9"/>
      <c r="C683" s="64"/>
    </row>
    <row r="684" spans="1:3">
      <c r="A684" s="9"/>
      <c r="B684" s="9"/>
      <c r="C684" s="64"/>
    </row>
    <row r="685" spans="1:3">
      <c r="A685" s="9"/>
      <c r="B685" s="9"/>
      <c r="C685" s="64"/>
    </row>
    <row r="686" spans="1:3">
      <c r="A686" s="9"/>
      <c r="B686" s="9"/>
      <c r="C686" s="64"/>
    </row>
    <row r="687" spans="1:3">
      <c r="A687" s="9"/>
      <c r="B687" s="9"/>
      <c r="C687" s="64"/>
    </row>
    <row r="688" spans="1:3">
      <c r="A688" s="9"/>
      <c r="B688" s="9"/>
      <c r="C688" s="64"/>
    </row>
    <row r="689" spans="1:3">
      <c r="A689" s="9"/>
      <c r="B689" s="9"/>
      <c r="C689" s="64"/>
    </row>
    <row r="690" spans="1:3">
      <c r="A690" s="9"/>
      <c r="B690" s="9"/>
      <c r="C690" s="64"/>
    </row>
    <row r="691" spans="1:3">
      <c r="A691" s="9"/>
      <c r="B691" s="9"/>
      <c r="C691" s="64"/>
    </row>
    <row r="692" spans="1:3">
      <c r="A692" s="9"/>
      <c r="B692" s="9"/>
      <c r="C692" s="64"/>
    </row>
    <row r="693" spans="1:3">
      <c r="A693" s="9"/>
      <c r="B693" s="9"/>
      <c r="C693" s="64"/>
    </row>
    <row r="694" spans="1:3">
      <c r="A694" s="9"/>
      <c r="B694" s="9"/>
      <c r="C694" s="64"/>
    </row>
    <row r="695" spans="1:3">
      <c r="A695" s="9"/>
      <c r="B695" s="9"/>
      <c r="C695" s="64"/>
    </row>
    <row r="696" spans="1:3">
      <c r="A696" s="9"/>
      <c r="B696" s="9"/>
      <c r="C696" s="64"/>
    </row>
    <row r="697" spans="1:3">
      <c r="A697" s="9"/>
      <c r="B697" s="9"/>
      <c r="C697" s="64"/>
    </row>
    <row r="698" spans="1:3">
      <c r="A698" s="9"/>
      <c r="B698" s="9"/>
      <c r="C698" s="64"/>
    </row>
    <row r="699" spans="1:3">
      <c r="A699" s="9"/>
      <c r="B699" s="9"/>
      <c r="C699" s="64"/>
    </row>
    <row r="700" spans="1:3">
      <c r="A700" s="9"/>
      <c r="B700" s="9"/>
      <c r="C700" s="64"/>
    </row>
    <row r="701" spans="1:3">
      <c r="A701" s="9"/>
      <c r="B701" s="9"/>
      <c r="C701" s="64"/>
    </row>
    <row r="702" spans="1:3">
      <c r="A702" s="9"/>
      <c r="B702" s="9"/>
      <c r="C702" s="64"/>
    </row>
    <row r="703" spans="1:3">
      <c r="A703" s="9"/>
      <c r="B703" s="9"/>
      <c r="C703" s="64"/>
    </row>
    <row r="704" spans="1:3">
      <c r="A704" s="9"/>
      <c r="B704" s="9"/>
      <c r="C704" s="64"/>
    </row>
    <row r="705" spans="1:3">
      <c r="A705" s="9"/>
      <c r="B705" s="9"/>
      <c r="C705" s="64"/>
    </row>
    <row r="706" spans="1:3">
      <c r="A706" s="9"/>
      <c r="B706" s="9"/>
      <c r="C706" s="64"/>
    </row>
    <row r="707" spans="1:3">
      <c r="A707" s="9"/>
      <c r="B707" s="9"/>
      <c r="C707" s="64"/>
    </row>
    <row r="708" spans="1:3">
      <c r="A708" s="9"/>
      <c r="B708" s="9"/>
      <c r="C708" s="64"/>
    </row>
    <row r="709" spans="1:3">
      <c r="A709" s="9"/>
      <c r="B709" s="9"/>
      <c r="C709" s="64"/>
    </row>
    <row r="710" spans="1:3">
      <c r="A710" s="9"/>
      <c r="B710" s="9"/>
      <c r="C710" s="64"/>
    </row>
    <row r="711" spans="1:3">
      <c r="A711" s="9"/>
      <c r="B711" s="9"/>
      <c r="C711" s="64"/>
    </row>
    <row r="712" spans="1:3">
      <c r="A712" s="9"/>
      <c r="B712" s="9"/>
      <c r="C712" s="64"/>
    </row>
    <row r="713" spans="1:3">
      <c r="A713" s="9"/>
      <c r="B713" s="9"/>
      <c r="C713" s="64"/>
    </row>
    <row r="714" spans="1:3">
      <c r="A714" s="9"/>
      <c r="B714" s="9"/>
      <c r="C714" s="64"/>
    </row>
    <row r="715" spans="1:3">
      <c r="A715" s="9"/>
      <c r="B715" s="9"/>
      <c r="C715" s="64"/>
    </row>
    <row r="716" spans="1:3">
      <c r="A716" s="9"/>
      <c r="B716" s="9"/>
      <c r="C716" s="64"/>
    </row>
    <row r="717" spans="1:3">
      <c r="A717" s="9"/>
      <c r="B717" s="9"/>
      <c r="C717" s="64"/>
    </row>
    <row r="718" spans="1:3">
      <c r="A718" s="9"/>
      <c r="B718" s="9"/>
      <c r="C718" s="64"/>
    </row>
    <row r="719" spans="1:3">
      <c r="A719" s="9"/>
      <c r="B719" s="9"/>
      <c r="C719" s="64"/>
    </row>
    <row r="720" spans="1:3">
      <c r="A720" s="9"/>
      <c r="B720" s="9"/>
      <c r="C720" s="64"/>
    </row>
    <row r="721" spans="1:3">
      <c r="A721" s="9"/>
      <c r="B721" s="9"/>
      <c r="C721" s="64"/>
    </row>
    <row r="722" spans="1:3">
      <c r="A722" s="9"/>
      <c r="B722" s="9"/>
      <c r="C722" s="64"/>
    </row>
    <row r="723" spans="1:3">
      <c r="A723" s="9"/>
      <c r="B723" s="9"/>
      <c r="C723" s="64"/>
    </row>
    <row r="724" spans="1:3">
      <c r="A724" s="9"/>
      <c r="B724" s="9"/>
      <c r="C724" s="64"/>
    </row>
    <row r="725" spans="1:3">
      <c r="A725" s="9"/>
      <c r="B725" s="9"/>
      <c r="C725" s="64"/>
    </row>
    <row r="726" spans="1:3">
      <c r="A726" s="9"/>
      <c r="B726" s="9"/>
      <c r="C726" s="64"/>
    </row>
    <row r="727" spans="1:3">
      <c r="A727" s="9"/>
      <c r="B727" s="9"/>
      <c r="C727" s="64"/>
    </row>
    <row r="728" spans="1:3">
      <c r="A728" s="9"/>
      <c r="B728" s="9"/>
      <c r="C728" s="64"/>
    </row>
    <row r="729" spans="1:3">
      <c r="A729" s="9"/>
      <c r="B729" s="9"/>
      <c r="C729" s="64"/>
    </row>
    <row r="730" spans="1:3">
      <c r="A730" s="9"/>
      <c r="B730" s="9"/>
      <c r="C730" s="64"/>
    </row>
    <row r="731" spans="1:3">
      <c r="A731" s="9"/>
      <c r="B731" s="9"/>
      <c r="C731" s="64"/>
    </row>
    <row r="732" spans="1:3">
      <c r="A732" s="9"/>
      <c r="B732" s="9"/>
      <c r="C732" s="64"/>
    </row>
    <row r="733" spans="1:3">
      <c r="A733" s="9"/>
      <c r="B733" s="9"/>
      <c r="C733" s="64"/>
    </row>
    <row r="734" spans="1:3">
      <c r="A734" s="9"/>
      <c r="B734" s="9"/>
      <c r="C734" s="64"/>
    </row>
    <row r="735" spans="1:3">
      <c r="A735" s="9"/>
      <c r="B735" s="9"/>
      <c r="C735" s="64"/>
    </row>
    <row r="736" spans="1:3">
      <c r="A736" s="9"/>
      <c r="B736" s="9"/>
      <c r="C736" s="64"/>
    </row>
    <row r="737" spans="1:3">
      <c r="A737" s="9"/>
      <c r="B737" s="9"/>
      <c r="C737" s="64"/>
    </row>
    <row r="738" spans="1:3">
      <c r="A738" s="9"/>
      <c r="B738" s="9"/>
      <c r="C738" s="64"/>
    </row>
    <row r="739" spans="1:3">
      <c r="A739" s="9"/>
      <c r="B739" s="9"/>
      <c r="C739" s="64"/>
    </row>
    <row r="740" spans="1:3">
      <c r="A740" s="9"/>
      <c r="B740" s="9"/>
      <c r="C740" s="64"/>
    </row>
    <row r="741" spans="1:3">
      <c r="A741" s="9"/>
      <c r="B741" s="9"/>
      <c r="C741" s="64"/>
    </row>
    <row r="742" spans="1:3">
      <c r="A742" s="9"/>
      <c r="B742" s="9"/>
      <c r="C742" s="64"/>
    </row>
    <row r="743" spans="1:3">
      <c r="A743" s="9"/>
      <c r="B743" s="9"/>
      <c r="C743" s="64"/>
    </row>
    <row r="744" spans="1:3">
      <c r="A744" s="9"/>
      <c r="B744" s="9"/>
      <c r="C744" s="64"/>
    </row>
    <row r="745" spans="1:3">
      <c r="A745" s="9"/>
      <c r="B745" s="9"/>
      <c r="C745" s="64"/>
    </row>
    <row r="746" spans="1:3">
      <c r="A746" s="9"/>
      <c r="B746" s="9"/>
      <c r="C746" s="64"/>
    </row>
    <row r="747" spans="1:3">
      <c r="A747" s="9"/>
      <c r="B747" s="9"/>
      <c r="C747" s="64"/>
    </row>
    <row r="748" spans="1:3">
      <c r="A748" s="9"/>
      <c r="B748" s="9"/>
      <c r="C748" s="64"/>
    </row>
    <row r="749" spans="1:3">
      <c r="A749" s="9"/>
      <c r="B749" s="9"/>
      <c r="C749" s="64"/>
    </row>
    <row r="750" spans="1:3">
      <c r="A750" s="9"/>
      <c r="B750" s="9"/>
      <c r="C750" s="64"/>
    </row>
    <row r="751" spans="1:3">
      <c r="A751" s="9"/>
      <c r="B751" s="9"/>
      <c r="C751" s="64"/>
    </row>
    <row r="752" spans="1:3">
      <c r="A752" s="9"/>
      <c r="B752" s="9"/>
      <c r="C752" s="64"/>
    </row>
    <row r="753" spans="1:3">
      <c r="A753" s="9"/>
      <c r="B753" s="9"/>
      <c r="C753" s="64"/>
    </row>
    <row r="754" spans="1:3">
      <c r="A754" s="9"/>
      <c r="B754" s="9"/>
      <c r="C754" s="64"/>
    </row>
    <row r="755" spans="1:3">
      <c r="A755" s="9"/>
      <c r="B755" s="9"/>
      <c r="C755" s="64"/>
    </row>
    <row r="756" spans="1:3">
      <c r="A756" s="9"/>
      <c r="B756" s="9"/>
      <c r="C756" s="64"/>
    </row>
    <row r="757" spans="1:3">
      <c r="A757" s="9"/>
      <c r="B757" s="9"/>
      <c r="C757" s="64"/>
    </row>
    <row r="758" spans="1:3">
      <c r="A758" s="9"/>
      <c r="B758" s="9"/>
      <c r="C758" s="64"/>
    </row>
    <row r="759" spans="1:3">
      <c r="A759" s="9"/>
      <c r="B759" s="9"/>
      <c r="C759" s="64"/>
    </row>
    <row r="760" spans="1:3">
      <c r="A760" s="9"/>
      <c r="B760" s="9"/>
      <c r="C760" s="64"/>
    </row>
    <row r="761" spans="1:3">
      <c r="A761" s="9"/>
      <c r="B761" s="9"/>
      <c r="C761" s="64"/>
    </row>
    <row r="762" spans="1:3">
      <c r="A762" s="9"/>
      <c r="B762" s="9"/>
      <c r="C762" s="64"/>
    </row>
    <row r="763" spans="1:3">
      <c r="A763" s="9"/>
      <c r="B763" s="9"/>
      <c r="C763" s="64"/>
    </row>
    <row r="764" spans="1:3">
      <c r="A764" s="9"/>
      <c r="B764" s="9"/>
      <c r="C764" s="64"/>
    </row>
    <row r="765" spans="1:3">
      <c r="A765" s="9"/>
      <c r="B765" s="9"/>
      <c r="C765" s="64"/>
    </row>
    <row r="766" spans="1:3">
      <c r="A766" s="9"/>
      <c r="B766" s="9"/>
      <c r="C766" s="64"/>
    </row>
    <row r="767" spans="1:3">
      <c r="A767" s="9"/>
      <c r="B767" s="9"/>
      <c r="C767" s="64"/>
    </row>
    <row r="768" spans="1:3">
      <c r="A768" s="9"/>
      <c r="B768" s="9"/>
      <c r="C768" s="64"/>
    </row>
    <row r="769" spans="1:3">
      <c r="A769" s="9"/>
      <c r="B769" s="9"/>
      <c r="C769" s="64"/>
    </row>
    <row r="770" spans="1:3">
      <c r="A770" s="9"/>
      <c r="B770" s="9"/>
      <c r="C770" s="64"/>
    </row>
    <row r="771" spans="1:3">
      <c r="A771" s="9"/>
      <c r="B771" s="9"/>
      <c r="C771" s="64"/>
    </row>
    <row r="772" spans="1:3">
      <c r="A772" s="9"/>
      <c r="B772" s="9"/>
      <c r="C772" s="64"/>
    </row>
    <row r="773" spans="1:3">
      <c r="A773" s="9"/>
      <c r="B773" s="9"/>
      <c r="C773" s="64"/>
    </row>
    <row r="774" spans="1:3">
      <c r="A774" s="9"/>
      <c r="B774" s="9"/>
      <c r="C774" s="64"/>
    </row>
    <row r="775" spans="1:3">
      <c r="A775" s="9"/>
      <c r="B775" s="9"/>
      <c r="C775" s="64"/>
    </row>
    <row r="776" spans="1:3">
      <c r="A776" s="9"/>
      <c r="B776" s="9"/>
      <c r="C776" s="64"/>
    </row>
    <row r="777" spans="1:3">
      <c r="A777" s="9"/>
      <c r="B777" s="9"/>
      <c r="C777" s="64"/>
    </row>
    <row r="778" spans="1:3">
      <c r="A778" s="9"/>
      <c r="B778" s="9"/>
      <c r="C778" s="64"/>
    </row>
    <row r="779" spans="1:3">
      <c r="A779" s="9"/>
      <c r="B779" s="9"/>
      <c r="C779" s="64"/>
    </row>
    <row r="780" spans="1:3">
      <c r="A780" s="9"/>
      <c r="B780" s="9"/>
      <c r="C780" s="64"/>
    </row>
    <row r="781" spans="1:3">
      <c r="A781" s="9"/>
      <c r="B781" s="9"/>
      <c r="C781" s="64"/>
    </row>
    <row r="782" spans="1:3">
      <c r="A782" s="9"/>
      <c r="B782" s="9"/>
      <c r="C782" s="64"/>
    </row>
    <row r="783" spans="1:3">
      <c r="A783" s="9"/>
      <c r="B783" s="9"/>
      <c r="C783" s="64"/>
    </row>
    <row r="784" spans="1:3">
      <c r="A784" s="9"/>
      <c r="B784" s="9"/>
      <c r="C784" s="64"/>
    </row>
    <row r="785" spans="1:3">
      <c r="A785" s="9"/>
      <c r="B785" s="9"/>
      <c r="C785" s="64"/>
    </row>
    <row r="786" spans="1:3">
      <c r="A786" s="9"/>
      <c r="B786" s="9"/>
      <c r="C786" s="64"/>
    </row>
    <row r="787" spans="1:3">
      <c r="A787" s="9"/>
      <c r="B787" s="9"/>
      <c r="C787" s="64"/>
    </row>
    <row r="788" spans="1:3">
      <c r="A788" s="9"/>
      <c r="B788" s="9"/>
      <c r="C788" s="64"/>
    </row>
    <row r="789" spans="1:3">
      <c r="A789" s="9"/>
      <c r="B789" s="9"/>
      <c r="C789" s="64"/>
    </row>
    <row r="790" spans="1:3">
      <c r="A790" s="9"/>
      <c r="B790" s="9"/>
      <c r="C790" s="64"/>
    </row>
    <row r="791" spans="1:3">
      <c r="A791" s="9"/>
      <c r="B791" s="9"/>
      <c r="C791" s="64"/>
    </row>
    <row r="792" spans="1:3">
      <c r="A792" s="9"/>
      <c r="B792" s="9"/>
      <c r="C792" s="64"/>
    </row>
    <row r="793" spans="1:3">
      <c r="A793" s="9"/>
      <c r="B793" s="9"/>
      <c r="C793" s="64"/>
    </row>
    <row r="794" spans="1:3">
      <c r="A794" s="9"/>
      <c r="B794" s="9"/>
      <c r="C794" s="64"/>
    </row>
    <row r="795" spans="1:3">
      <c r="A795" s="9"/>
      <c r="B795" s="9"/>
      <c r="C795" s="64"/>
    </row>
    <row r="796" spans="1:3">
      <c r="A796" s="9"/>
      <c r="B796" s="9"/>
      <c r="C796" s="64"/>
    </row>
    <row r="797" spans="1:3">
      <c r="A797" s="9"/>
      <c r="B797" s="9"/>
      <c r="C797" s="64"/>
    </row>
    <row r="798" spans="1:3">
      <c r="A798" s="9"/>
      <c r="B798" s="9"/>
      <c r="C798" s="64"/>
    </row>
    <row r="799" spans="1:3">
      <c r="A799" s="9"/>
      <c r="B799" s="9"/>
      <c r="C799" s="64"/>
    </row>
    <row r="800" spans="1:3">
      <c r="A800" s="9"/>
      <c r="B800" s="9"/>
      <c r="C800" s="64"/>
    </row>
    <row r="801" spans="1:3">
      <c r="A801" s="9"/>
      <c r="B801" s="9"/>
      <c r="C801" s="64"/>
    </row>
    <row r="802" spans="1:3">
      <c r="A802" s="9"/>
      <c r="B802" s="9"/>
      <c r="C802" s="64"/>
    </row>
    <row r="803" spans="1:3">
      <c r="A803" s="9"/>
      <c r="B803" s="9"/>
      <c r="C803" s="64"/>
    </row>
    <row r="804" spans="1:3">
      <c r="A804" s="9"/>
      <c r="B804" s="9"/>
      <c r="C804" s="64"/>
    </row>
    <row r="805" spans="1:3">
      <c r="A805" s="9"/>
      <c r="B805" s="9"/>
      <c r="C805" s="64"/>
    </row>
    <row r="806" spans="1:3">
      <c r="A806" s="9"/>
      <c r="B806" s="9"/>
      <c r="C806" s="64"/>
    </row>
    <row r="807" spans="1:3">
      <c r="A807" s="9"/>
      <c r="B807" s="9"/>
      <c r="C807" s="64"/>
    </row>
    <row r="808" spans="1:3">
      <c r="A808" s="9"/>
      <c r="B808" s="9"/>
      <c r="C808" s="64"/>
    </row>
    <row r="809" spans="1:3">
      <c r="A809" s="9"/>
      <c r="B809" s="9"/>
      <c r="C809" s="64"/>
    </row>
    <row r="810" spans="1:3">
      <c r="A810" s="9"/>
      <c r="B810" s="9"/>
      <c r="C810" s="64"/>
    </row>
    <row r="811" spans="1:3">
      <c r="A811" s="9"/>
      <c r="B811" s="9"/>
      <c r="C811" s="64"/>
    </row>
    <row r="812" spans="1:3">
      <c r="A812" s="9"/>
      <c r="B812" s="9"/>
      <c r="C812" s="64"/>
    </row>
    <row r="813" spans="1:3">
      <c r="A813" s="9"/>
      <c r="B813" s="9"/>
      <c r="C813" s="64"/>
    </row>
    <row r="814" spans="1:3">
      <c r="A814" s="9"/>
      <c r="B814" s="9"/>
      <c r="C814" s="64"/>
    </row>
    <row r="815" spans="1:3">
      <c r="A815" s="9"/>
      <c r="B815" s="9"/>
      <c r="C815" s="64"/>
    </row>
    <row r="816" spans="1:3">
      <c r="A816" s="9"/>
      <c r="B816" s="9"/>
      <c r="C816" s="64"/>
    </row>
    <row r="817" spans="1:3">
      <c r="A817" s="9"/>
      <c r="B817" s="9"/>
      <c r="C817" s="64"/>
    </row>
    <row r="818" spans="1:3">
      <c r="A818" s="9"/>
      <c r="B818" s="9"/>
      <c r="C818" s="64"/>
    </row>
    <row r="819" spans="1:3">
      <c r="A819" s="9"/>
      <c r="B819" s="9"/>
      <c r="C819" s="64"/>
    </row>
    <row r="820" spans="1:3">
      <c r="A820" s="9"/>
      <c r="B820" s="9"/>
      <c r="C820" s="64"/>
    </row>
    <row r="821" spans="1:3">
      <c r="A821" s="9"/>
      <c r="B821" s="9"/>
      <c r="C821" s="64"/>
    </row>
    <row r="822" spans="1:3">
      <c r="A822" s="9"/>
      <c r="B822" s="9"/>
      <c r="C822" s="64"/>
    </row>
    <row r="823" spans="1:3">
      <c r="A823" s="9"/>
      <c r="B823" s="9"/>
      <c r="C823" s="64"/>
    </row>
    <row r="824" spans="1:3">
      <c r="A824" s="9"/>
      <c r="B824" s="9"/>
      <c r="C824" s="64"/>
    </row>
    <row r="825" spans="1:3">
      <c r="A825" s="9"/>
      <c r="B825" s="9"/>
      <c r="C825" s="64"/>
    </row>
    <row r="826" spans="1:3">
      <c r="A826" s="9"/>
      <c r="B826" s="9"/>
      <c r="C826" s="64"/>
    </row>
    <row r="827" spans="1:3">
      <c r="A827" s="9"/>
      <c r="B827" s="9"/>
      <c r="C827" s="64"/>
    </row>
    <row r="828" spans="1:3">
      <c r="A828" s="9"/>
      <c r="B828" s="9"/>
      <c r="C828" s="64"/>
    </row>
    <row r="829" spans="1:3">
      <c r="A829" s="9"/>
      <c r="B829" s="9"/>
      <c r="C829" s="64"/>
    </row>
    <row r="830" spans="1:3">
      <c r="A830" s="9"/>
      <c r="B830" s="9"/>
      <c r="C830" s="64"/>
    </row>
    <row r="831" spans="1:3">
      <c r="A831" s="9"/>
      <c r="B831" s="9"/>
      <c r="C831" s="64"/>
    </row>
    <row r="832" spans="1:3">
      <c r="A832" s="9"/>
      <c r="B832" s="9"/>
      <c r="C832" s="64"/>
    </row>
    <row r="833" spans="1:3">
      <c r="A833" s="9"/>
      <c r="B833" s="9"/>
      <c r="C833" s="64"/>
    </row>
    <row r="834" spans="1:3">
      <c r="A834" s="9"/>
      <c r="B834" s="9"/>
      <c r="C834" s="64"/>
    </row>
    <row r="835" spans="1:3">
      <c r="A835" s="9"/>
      <c r="B835" s="9"/>
      <c r="C835" s="64"/>
    </row>
    <row r="836" spans="1:3">
      <c r="A836" s="9"/>
      <c r="B836" s="9"/>
      <c r="C836" s="64"/>
    </row>
    <row r="837" spans="1:3">
      <c r="A837" s="9"/>
      <c r="B837" s="9"/>
      <c r="C837" s="64"/>
    </row>
    <row r="838" spans="1:3">
      <c r="A838" s="9"/>
      <c r="B838" s="9"/>
      <c r="C838" s="64"/>
    </row>
    <row r="839" spans="1:3">
      <c r="A839" s="9"/>
      <c r="B839" s="9"/>
      <c r="C839" s="64"/>
    </row>
    <row r="840" spans="1:3">
      <c r="A840" s="9"/>
      <c r="B840" s="9"/>
      <c r="C840" s="64"/>
    </row>
    <row r="841" spans="1:3">
      <c r="A841" s="9"/>
      <c r="B841" s="9"/>
      <c r="C841" s="64"/>
    </row>
    <row r="842" spans="1:3">
      <c r="A842" s="9"/>
      <c r="B842" s="9"/>
      <c r="C842" s="64"/>
    </row>
    <row r="843" spans="1:3">
      <c r="A843" s="9"/>
      <c r="B843" s="9"/>
      <c r="C843" s="64"/>
    </row>
    <row r="844" spans="1:3">
      <c r="A844" s="9"/>
      <c r="B844" s="9"/>
      <c r="C844" s="64"/>
    </row>
    <row r="845" spans="1:3">
      <c r="A845" s="9"/>
      <c r="B845" s="9"/>
      <c r="C845" s="64"/>
    </row>
    <row r="846" spans="1:3">
      <c r="A846" s="9"/>
      <c r="B846" s="9"/>
      <c r="C846" s="64"/>
    </row>
    <row r="847" spans="1:3">
      <c r="A847" s="9"/>
      <c r="B847" s="9"/>
      <c r="C847" s="64"/>
    </row>
    <row r="848" spans="1:3">
      <c r="A848" s="9"/>
      <c r="B848" s="9"/>
      <c r="C848" s="64"/>
    </row>
    <row r="849" spans="1:3">
      <c r="A849" s="9"/>
      <c r="B849" s="9"/>
      <c r="C849" s="64"/>
    </row>
    <row r="850" spans="1:3">
      <c r="A850" s="9"/>
      <c r="B850" s="9"/>
      <c r="C850" s="64"/>
    </row>
    <row r="851" spans="1:3">
      <c r="A851" s="9"/>
      <c r="B851" s="9"/>
      <c r="C851" s="64"/>
    </row>
    <row r="852" spans="1:3">
      <c r="A852" s="9"/>
      <c r="B852" s="9"/>
      <c r="C852" s="64"/>
    </row>
    <row r="853" spans="1:3">
      <c r="A853" s="9"/>
      <c r="B853" s="9"/>
      <c r="C853" s="64"/>
    </row>
    <row r="854" spans="1:3">
      <c r="A854" s="9"/>
      <c r="B854" s="9"/>
      <c r="C854" s="64"/>
    </row>
    <row r="855" spans="1:3">
      <c r="A855" s="9"/>
      <c r="B855" s="9"/>
      <c r="C855" s="64"/>
    </row>
    <row r="856" spans="1:3">
      <c r="A856" s="9"/>
      <c r="B856" s="9"/>
      <c r="C856" s="64"/>
    </row>
    <row r="857" spans="1:3">
      <c r="A857" s="9"/>
      <c r="B857" s="9"/>
      <c r="C857" s="64"/>
    </row>
    <row r="858" spans="1:3">
      <c r="A858" s="9"/>
      <c r="B858" s="9"/>
      <c r="C858" s="64"/>
    </row>
    <row r="859" spans="1:3">
      <c r="A859" s="9"/>
      <c r="B859" s="9"/>
      <c r="C859" s="64"/>
    </row>
    <row r="860" spans="1:3">
      <c r="A860" s="9"/>
      <c r="B860" s="9"/>
      <c r="C860" s="64"/>
    </row>
    <row r="861" spans="1:3">
      <c r="A861" s="9"/>
      <c r="B861" s="9"/>
      <c r="C861" s="64"/>
    </row>
    <row r="862" spans="1:3">
      <c r="A862" s="9"/>
      <c r="B862" s="9"/>
      <c r="C862" s="64"/>
    </row>
    <row r="863" spans="1:3">
      <c r="A863" s="9"/>
      <c r="B863" s="9"/>
      <c r="C863" s="64"/>
    </row>
    <row r="864" spans="1:3">
      <c r="A864" s="9"/>
      <c r="B864" s="9"/>
      <c r="C864" s="64"/>
    </row>
    <row r="865" spans="1:3">
      <c r="A865" s="9"/>
      <c r="B865" s="9"/>
      <c r="C865" s="64"/>
    </row>
    <row r="866" spans="1:3">
      <c r="A866" s="9"/>
      <c r="B866" s="9"/>
      <c r="C866" s="64"/>
    </row>
    <row r="867" spans="1:3">
      <c r="A867" s="9"/>
      <c r="B867" s="9"/>
      <c r="C867" s="64"/>
    </row>
    <row r="868" spans="1:3">
      <c r="A868" s="9"/>
      <c r="B868" s="9"/>
      <c r="C868" s="64"/>
    </row>
    <row r="869" spans="1:3">
      <c r="A869" s="9"/>
      <c r="B869" s="9"/>
      <c r="C869" s="64"/>
    </row>
    <row r="870" spans="1:3">
      <c r="A870" s="9"/>
      <c r="B870" s="9"/>
      <c r="C870" s="64"/>
    </row>
    <row r="871" spans="1:3">
      <c r="A871" s="9"/>
      <c r="B871" s="9"/>
      <c r="C871" s="64"/>
    </row>
    <row r="872" spans="1:3">
      <c r="A872" s="9"/>
      <c r="B872" s="9"/>
      <c r="C872" s="64"/>
    </row>
    <row r="873" spans="1:3">
      <c r="A873" s="9"/>
      <c r="B873" s="9"/>
      <c r="C873" s="64"/>
    </row>
    <row r="874" spans="1:3">
      <c r="A874" s="9"/>
      <c r="B874" s="9"/>
      <c r="C874" s="64"/>
    </row>
    <row r="875" spans="1:3">
      <c r="A875" s="9"/>
      <c r="B875" s="9"/>
      <c r="C875" s="64"/>
    </row>
    <row r="876" spans="1:3">
      <c r="A876" s="9"/>
      <c r="B876" s="9"/>
      <c r="C876" s="64"/>
    </row>
    <row r="877" spans="1:3">
      <c r="A877" s="9"/>
      <c r="B877" s="9"/>
      <c r="C877" s="64"/>
    </row>
    <row r="878" spans="1:3">
      <c r="A878" s="9"/>
      <c r="B878" s="9"/>
      <c r="C878" s="64"/>
    </row>
    <row r="879" spans="1:3">
      <c r="A879" s="9"/>
      <c r="B879" s="9"/>
      <c r="C879" s="64"/>
    </row>
    <row r="880" spans="1:3">
      <c r="A880" s="9"/>
      <c r="B880" s="9"/>
      <c r="C880" s="64"/>
    </row>
    <row r="881" spans="1:3">
      <c r="A881" s="9"/>
      <c r="B881" s="9"/>
      <c r="C881" s="64"/>
    </row>
    <row r="882" spans="1:3">
      <c r="A882" s="9"/>
      <c r="B882" s="9"/>
      <c r="C882" s="64"/>
    </row>
    <row r="883" spans="1:3">
      <c r="A883" s="9"/>
      <c r="B883" s="9"/>
      <c r="C883" s="64"/>
    </row>
    <row r="884" spans="1:3">
      <c r="A884" s="9"/>
      <c r="B884" s="9"/>
      <c r="C884" s="64"/>
    </row>
    <row r="885" spans="1:3">
      <c r="A885" s="9"/>
      <c r="B885" s="9"/>
      <c r="C885" s="64"/>
    </row>
    <row r="886" spans="1:3">
      <c r="A886" s="9"/>
      <c r="B886" s="9"/>
      <c r="C886" s="64"/>
    </row>
    <row r="887" spans="1:3">
      <c r="A887" s="9"/>
      <c r="B887" s="9"/>
      <c r="C887" s="64"/>
    </row>
    <row r="888" spans="1:3">
      <c r="A888" s="9"/>
      <c r="B888" s="9"/>
      <c r="C888" s="64"/>
    </row>
    <row r="889" spans="1:3">
      <c r="A889" s="9"/>
      <c r="B889" s="9"/>
      <c r="C889" s="64"/>
    </row>
    <row r="890" spans="1:3">
      <c r="A890" s="9"/>
      <c r="B890" s="9"/>
      <c r="C890" s="64"/>
    </row>
    <row r="891" spans="1:3">
      <c r="A891" s="9"/>
      <c r="B891" s="9"/>
      <c r="C891" s="64"/>
    </row>
    <row r="892" spans="1:3">
      <c r="A892" s="9"/>
      <c r="B892" s="9"/>
      <c r="C892" s="64"/>
    </row>
    <row r="893" spans="1:3">
      <c r="A893" s="9"/>
      <c r="B893" s="9"/>
      <c r="C893" s="64"/>
    </row>
    <row r="894" spans="1:3">
      <c r="A894" s="9"/>
      <c r="B894" s="9"/>
      <c r="C894" s="64"/>
    </row>
    <row r="895" spans="1:3">
      <c r="A895" s="9"/>
      <c r="B895" s="9"/>
      <c r="C895" s="64"/>
    </row>
    <row r="896" spans="1:3">
      <c r="A896" s="9"/>
      <c r="B896" s="9"/>
      <c r="C896" s="64"/>
    </row>
    <row r="897" spans="1:3">
      <c r="A897" s="9"/>
      <c r="B897" s="9"/>
      <c r="C897" s="64"/>
    </row>
    <row r="898" spans="1:3">
      <c r="A898" s="9"/>
      <c r="B898" s="9"/>
      <c r="C898" s="64"/>
    </row>
    <row r="899" spans="1:3">
      <c r="A899" s="9"/>
      <c r="B899" s="9"/>
      <c r="C899" s="64"/>
    </row>
    <row r="900" spans="1:3">
      <c r="A900" s="9"/>
      <c r="B900" s="9"/>
      <c r="C900" s="64"/>
    </row>
    <row r="901" spans="1:3">
      <c r="A901" s="9"/>
      <c r="B901" s="9"/>
      <c r="C901" s="64"/>
    </row>
    <row r="902" spans="1:3">
      <c r="A902" s="9"/>
      <c r="B902" s="9"/>
      <c r="C902" s="64"/>
    </row>
    <row r="903" spans="1:3">
      <c r="A903" s="9"/>
      <c r="B903" s="9"/>
      <c r="C903" s="64"/>
    </row>
    <row r="904" spans="1:3">
      <c r="A904" s="9"/>
      <c r="B904" s="9"/>
      <c r="C904" s="64"/>
    </row>
    <row r="905" spans="1:3">
      <c r="A905" s="9"/>
      <c r="B905" s="9"/>
      <c r="C905" s="64"/>
    </row>
    <row r="906" spans="1:3">
      <c r="A906" s="9"/>
      <c r="B906" s="9"/>
      <c r="C906" s="64"/>
    </row>
    <row r="907" spans="1:3">
      <c r="A907" s="9"/>
      <c r="B907" s="9"/>
      <c r="C907" s="64"/>
    </row>
    <row r="908" spans="1:3">
      <c r="A908" s="9"/>
      <c r="B908" s="9"/>
      <c r="C908" s="64"/>
    </row>
    <row r="909" spans="1:3">
      <c r="A909" s="9"/>
      <c r="B909" s="9"/>
      <c r="C909" s="64"/>
    </row>
    <row r="910" spans="1:3">
      <c r="A910" s="9"/>
      <c r="B910" s="9"/>
      <c r="C910" s="64"/>
    </row>
    <row r="911" spans="1:3">
      <c r="A911" s="9"/>
      <c r="B911" s="9"/>
      <c r="C911" s="64"/>
    </row>
    <row r="912" spans="1:3">
      <c r="A912" s="9"/>
      <c r="B912" s="9"/>
      <c r="C912" s="64"/>
    </row>
    <row r="913" spans="1:3">
      <c r="A913" s="9"/>
      <c r="B913" s="9"/>
      <c r="C913" s="64"/>
    </row>
    <row r="914" spans="1:3">
      <c r="A914" s="9"/>
      <c r="B914" s="9"/>
      <c r="C914" s="64"/>
    </row>
    <row r="915" spans="1:3">
      <c r="A915" s="9"/>
      <c r="B915" s="9"/>
      <c r="C915" s="64"/>
    </row>
    <row r="916" spans="1:3">
      <c r="A916" s="9"/>
      <c r="B916" s="9"/>
      <c r="C916" s="64"/>
    </row>
    <row r="917" spans="1:3">
      <c r="A917" s="9"/>
      <c r="B917" s="9"/>
      <c r="C917" s="64"/>
    </row>
    <row r="918" spans="1:3">
      <c r="A918" s="9"/>
      <c r="B918" s="9"/>
      <c r="C918" s="64"/>
    </row>
    <row r="919" spans="1:3">
      <c r="A919" s="9"/>
      <c r="B919" s="9"/>
      <c r="C919" s="64"/>
    </row>
    <row r="920" spans="1:3">
      <c r="A920" s="9"/>
      <c r="B920" s="9"/>
      <c r="C920" s="64"/>
    </row>
    <row r="921" spans="1:3">
      <c r="A921" s="9"/>
      <c r="B921" s="9"/>
      <c r="C921" s="64"/>
    </row>
    <row r="922" spans="1:3">
      <c r="A922" s="9"/>
      <c r="B922" s="9"/>
      <c r="C922" s="64"/>
    </row>
    <row r="923" spans="1:3">
      <c r="A923" s="9"/>
      <c r="B923" s="9"/>
      <c r="C923" s="64"/>
    </row>
    <row r="924" spans="1:3">
      <c r="A924" s="9"/>
      <c r="B924" s="9"/>
      <c r="C924" s="64"/>
    </row>
    <row r="925" spans="1:3">
      <c r="A925" s="9"/>
      <c r="B925" s="9"/>
      <c r="C925" s="64"/>
    </row>
    <row r="926" spans="1:3">
      <c r="A926" s="9"/>
      <c r="B926" s="9"/>
      <c r="C926" s="64"/>
    </row>
    <row r="927" spans="1:3">
      <c r="A927" s="9"/>
      <c r="B927" s="9"/>
      <c r="C927" s="64"/>
    </row>
    <row r="928" spans="1:3">
      <c r="A928" s="9"/>
      <c r="B928" s="9"/>
      <c r="C928" s="64"/>
    </row>
    <row r="929" spans="1:3">
      <c r="A929" s="9"/>
      <c r="B929" s="9"/>
      <c r="C929" s="64"/>
    </row>
    <row r="930" spans="1:3">
      <c r="A930" s="9"/>
      <c r="B930" s="9"/>
      <c r="C930" s="64"/>
    </row>
    <row r="931" spans="1:3">
      <c r="A931" s="9"/>
      <c r="B931" s="9"/>
      <c r="C931" s="64"/>
    </row>
    <row r="932" spans="1:3">
      <c r="A932" s="9"/>
      <c r="B932" s="9"/>
      <c r="C932" s="64"/>
    </row>
    <row r="933" spans="1:3">
      <c r="A933" s="9"/>
      <c r="B933" s="9"/>
      <c r="C933" s="64"/>
    </row>
    <row r="934" spans="1:3">
      <c r="A934" s="9"/>
      <c r="B934" s="9"/>
      <c r="C934" s="64"/>
    </row>
    <row r="935" spans="1:3">
      <c r="A935" s="9"/>
      <c r="B935" s="9"/>
      <c r="C935" s="64"/>
    </row>
    <row r="936" spans="1:3">
      <c r="A936" s="9"/>
      <c r="B936" s="9"/>
      <c r="C936" s="64"/>
    </row>
    <row r="937" spans="1:3">
      <c r="A937" s="9"/>
      <c r="B937" s="9"/>
      <c r="C937" s="64"/>
    </row>
    <row r="938" spans="1:3">
      <c r="A938" s="9"/>
      <c r="B938" s="9"/>
      <c r="C938" s="64"/>
    </row>
    <row r="939" spans="1:3">
      <c r="A939" s="9"/>
      <c r="B939" s="9"/>
      <c r="C939" s="64"/>
    </row>
    <row r="940" spans="1:3">
      <c r="A940" s="9"/>
      <c r="B940" s="9"/>
      <c r="C940" s="64"/>
    </row>
    <row r="941" spans="1:3">
      <c r="A941" s="9"/>
      <c r="B941" s="9"/>
      <c r="C941" s="64"/>
    </row>
    <row r="942" spans="1:3">
      <c r="A942" s="9"/>
      <c r="B942" s="9"/>
      <c r="C942" s="64"/>
    </row>
    <row r="943" spans="1:3">
      <c r="A943" s="9"/>
      <c r="B943" s="9"/>
      <c r="C943" s="64"/>
    </row>
    <row r="944" spans="1:3">
      <c r="A944" s="9"/>
      <c r="B944" s="9"/>
      <c r="C944" s="64"/>
    </row>
    <row r="945" spans="1:3">
      <c r="A945" s="9"/>
      <c r="B945" s="9"/>
      <c r="C945" s="64"/>
    </row>
    <row r="946" spans="1:3">
      <c r="A946" s="9"/>
      <c r="B946" s="9"/>
      <c r="C946" s="64"/>
    </row>
    <row r="947" spans="1:3">
      <c r="A947" s="9"/>
      <c r="B947" s="9"/>
      <c r="C947" s="64"/>
    </row>
    <row r="948" spans="1:3">
      <c r="A948" s="9"/>
      <c r="B948" s="9"/>
      <c r="C948" s="64"/>
    </row>
    <row r="949" spans="1:3">
      <c r="A949" s="9"/>
      <c r="B949" s="9"/>
      <c r="C949" s="64"/>
    </row>
    <row r="950" spans="1:3">
      <c r="A950" s="9"/>
      <c r="B950" s="9"/>
      <c r="C950" s="64"/>
    </row>
    <row r="951" spans="1:3">
      <c r="A951" s="9"/>
      <c r="B951" s="9"/>
      <c r="C951" s="64"/>
    </row>
    <row r="952" spans="1:3">
      <c r="A952" s="9"/>
      <c r="B952" s="9"/>
      <c r="C952" s="64"/>
    </row>
    <row r="953" spans="1:3">
      <c r="A953" s="9"/>
      <c r="B953" s="9"/>
      <c r="C953" s="64"/>
    </row>
    <row r="954" spans="1:3">
      <c r="A954" s="9"/>
      <c r="B954" s="9"/>
      <c r="C954" s="64"/>
    </row>
    <row r="955" spans="1:3">
      <c r="A955" s="9"/>
      <c r="B955" s="9"/>
      <c r="C955" s="64"/>
    </row>
    <row r="956" spans="1:3">
      <c r="A956" s="9"/>
      <c r="B956" s="9"/>
      <c r="C956" s="64"/>
    </row>
    <row r="957" spans="1:3">
      <c r="A957" s="9"/>
      <c r="B957" s="9"/>
      <c r="C957" s="64"/>
    </row>
    <row r="958" spans="1:3">
      <c r="A958" s="9"/>
      <c r="B958" s="9"/>
      <c r="C958" s="64"/>
    </row>
    <row r="959" spans="1:3">
      <c r="A959" s="9"/>
      <c r="B959" s="9"/>
      <c r="C959" s="64"/>
    </row>
    <row r="960" spans="1:3">
      <c r="A960" s="9"/>
      <c r="B960" s="9"/>
      <c r="C960" s="64"/>
    </row>
    <row r="961" spans="1:3">
      <c r="A961" s="9"/>
      <c r="B961" s="9"/>
      <c r="C961" s="64"/>
    </row>
    <row r="962" spans="1:3">
      <c r="A962" s="9"/>
      <c r="B962" s="9"/>
      <c r="C962" s="64"/>
    </row>
    <row r="963" spans="1:3">
      <c r="A963" s="9"/>
      <c r="B963" s="9"/>
      <c r="C963" s="64"/>
    </row>
    <row r="964" spans="1:3">
      <c r="A964" s="9"/>
      <c r="B964" s="9"/>
      <c r="C964" s="64"/>
    </row>
    <row r="965" spans="1:3">
      <c r="A965" s="9"/>
      <c r="B965" s="9"/>
      <c r="C965" s="64"/>
    </row>
    <row r="966" spans="1:3">
      <c r="A966" s="9"/>
      <c r="B966" s="9"/>
      <c r="C966" s="64"/>
    </row>
    <row r="967" spans="1:3">
      <c r="A967" s="9"/>
      <c r="B967" s="9"/>
      <c r="C967" s="64"/>
    </row>
    <row r="968" spans="1:3">
      <c r="A968" s="9"/>
      <c r="B968" s="9"/>
      <c r="C968" s="64"/>
    </row>
    <row r="969" spans="1:3">
      <c r="A969" s="9"/>
      <c r="B969" s="9"/>
      <c r="C969" s="64"/>
    </row>
    <row r="970" spans="1:3">
      <c r="A970" s="9"/>
      <c r="B970" s="9"/>
      <c r="C970" s="64"/>
    </row>
    <row r="971" spans="1:3">
      <c r="A971" s="9"/>
      <c r="B971" s="9"/>
      <c r="C971" s="64"/>
    </row>
    <row r="972" spans="1:3">
      <c r="A972" s="9"/>
      <c r="B972" s="9"/>
      <c r="C972" s="64"/>
    </row>
    <row r="973" spans="1:3">
      <c r="A973" s="9"/>
      <c r="B973" s="9"/>
      <c r="C973" s="64"/>
    </row>
    <row r="974" spans="1:3">
      <c r="A974" s="9"/>
      <c r="B974" s="9"/>
      <c r="C974" s="64"/>
    </row>
    <row r="975" spans="1:3">
      <c r="A975" s="9"/>
      <c r="B975" s="9"/>
      <c r="C975" s="64"/>
    </row>
    <row r="976" spans="1:3">
      <c r="A976" s="9"/>
      <c r="B976" s="9"/>
      <c r="C976" s="64"/>
    </row>
    <row r="977" spans="1:3">
      <c r="A977" s="9"/>
      <c r="B977" s="9"/>
      <c r="C977" s="64"/>
    </row>
    <row r="978" spans="1:3">
      <c r="A978" s="9"/>
      <c r="B978" s="9"/>
      <c r="C978" s="64"/>
    </row>
    <row r="979" spans="1:3">
      <c r="A979" s="9"/>
      <c r="B979" s="9"/>
      <c r="C979" s="64"/>
    </row>
    <row r="980" spans="1:3">
      <c r="A980" s="9"/>
      <c r="B980" s="9"/>
      <c r="C980" s="64"/>
    </row>
    <row r="981" spans="1:3">
      <c r="A981" s="9"/>
      <c r="B981" s="9"/>
      <c r="C981" s="64"/>
    </row>
    <row r="982" spans="1:3">
      <c r="A982" s="9"/>
      <c r="B982" s="9"/>
      <c r="C982" s="64"/>
    </row>
    <row r="983" spans="1:3">
      <c r="A983" s="9"/>
      <c r="B983" s="9"/>
      <c r="C983" s="64"/>
    </row>
    <row r="984" spans="1:3">
      <c r="A984" s="9"/>
      <c r="B984" s="9"/>
      <c r="C984" s="64"/>
    </row>
    <row r="985" spans="1:3">
      <c r="A985" s="9"/>
      <c r="B985" s="9"/>
      <c r="C985" s="64"/>
    </row>
    <row r="986" spans="1:3">
      <c r="A986" s="9"/>
      <c r="B986" s="9"/>
      <c r="C986" s="64"/>
    </row>
    <row r="987" spans="1:3">
      <c r="A987" s="9"/>
      <c r="B987" s="9"/>
      <c r="C987" s="64"/>
    </row>
    <row r="988" spans="1:3">
      <c r="A988" s="9"/>
      <c r="B988" s="9"/>
      <c r="C988" s="64"/>
    </row>
    <row r="989" spans="1:3">
      <c r="A989" s="9"/>
      <c r="B989" s="9"/>
      <c r="C989" s="64"/>
    </row>
    <row r="990" spans="1:3">
      <c r="A990" s="9"/>
      <c r="B990" s="9"/>
      <c r="C990" s="64"/>
    </row>
    <row r="991" spans="1:3">
      <c r="A991" s="9"/>
      <c r="B991" s="9"/>
      <c r="C991" s="64"/>
    </row>
    <row r="992" spans="1:3">
      <c r="A992" s="9"/>
      <c r="B992" s="9"/>
      <c r="C992" s="64"/>
    </row>
    <row r="993" spans="1:3">
      <c r="A993" s="9"/>
      <c r="B993" s="9"/>
      <c r="C993" s="64"/>
    </row>
    <row r="994" spans="1:3">
      <c r="A994" s="9"/>
      <c r="B994" s="9"/>
      <c r="C994" s="64"/>
    </row>
    <row r="995" spans="1:3">
      <c r="A995" s="9"/>
      <c r="B995" s="9"/>
      <c r="C995" s="64"/>
    </row>
    <row r="996" spans="1:3">
      <c r="A996" s="9"/>
      <c r="B996" s="9"/>
      <c r="C996" s="64"/>
    </row>
    <row r="997" spans="1:3">
      <c r="A997" s="9"/>
      <c r="B997" s="9"/>
      <c r="C997" s="64"/>
    </row>
    <row r="998" spans="1:3">
      <c r="A998" s="9"/>
      <c r="B998" s="9"/>
      <c r="C998" s="64"/>
    </row>
    <row r="999" spans="1:3">
      <c r="A999" s="9"/>
      <c r="B999" s="9"/>
      <c r="C999" s="64"/>
    </row>
    <row r="1000" spans="1:3">
      <c r="A1000" s="9"/>
      <c r="B1000" s="9"/>
      <c r="C1000" s="6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G7"/>
  <sheetViews>
    <sheetView workbookViewId="0"/>
  </sheetViews>
  <sheetFormatPr baseColWidth="10" defaultColWidth="12.6640625" defaultRowHeight="15" customHeight="1"/>
  <cols>
    <col min="1" max="1" width="18.1640625" customWidth="1"/>
  </cols>
  <sheetData>
    <row r="1" spans="1:7">
      <c r="A1" s="65" t="s">
        <v>115</v>
      </c>
      <c r="B1" s="9" t="str">
        <f>A2</f>
        <v>Benqi - LINK</v>
      </c>
      <c r="C1" s="9" t="str">
        <f>A3</f>
        <v>DD-ABRA-FTT</v>
      </c>
      <c r="D1" s="9" t="str">
        <f>A4</f>
        <v>Defi Banker Joe</v>
      </c>
      <c r="E1" s="9" t="str">
        <f>A5</f>
        <v>Defi Benqi Deployment</v>
      </c>
      <c r="F1" s="9" t="str">
        <f>A6</f>
        <v>Banker Joe LINK</v>
      </c>
      <c r="G1" s="9" t="str">
        <f>A7</f>
        <v>Yield Desk</v>
      </c>
    </row>
    <row r="2" spans="1:7">
      <c r="A2" s="66" t="s">
        <v>116</v>
      </c>
      <c r="B2" s="7" t="s">
        <v>168</v>
      </c>
    </row>
    <row r="3" spans="1:7">
      <c r="A3" s="66" t="s">
        <v>117</v>
      </c>
      <c r="B3" s="7" t="s">
        <v>168</v>
      </c>
    </row>
    <row r="4" spans="1:7">
      <c r="A4" s="66" t="s">
        <v>118</v>
      </c>
      <c r="B4" s="7" t="s">
        <v>168</v>
      </c>
    </row>
    <row r="5" spans="1:7">
      <c r="A5" s="66" t="s">
        <v>119</v>
      </c>
      <c r="B5" s="7" t="s">
        <v>168</v>
      </c>
    </row>
    <row r="6" spans="1:7">
      <c r="A6" s="66" t="s">
        <v>120</v>
      </c>
      <c r="B6" s="7" t="s">
        <v>168</v>
      </c>
    </row>
    <row r="7" spans="1:7">
      <c r="A7" s="66" t="s">
        <v>267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L91"/>
  <sheetViews>
    <sheetView workbookViewId="0"/>
  </sheetViews>
  <sheetFormatPr baseColWidth="10" defaultColWidth="12.6640625" defaultRowHeight="15" customHeight="1"/>
  <cols>
    <col min="1" max="1" width="20.33203125" customWidth="1"/>
    <col min="2" max="2" width="20.6640625" customWidth="1"/>
    <col min="5" max="5" width="18.6640625" customWidth="1"/>
    <col min="6" max="6" width="23.6640625" customWidth="1"/>
  </cols>
  <sheetData>
    <row r="1" spans="1:9">
      <c r="A1" s="66" t="s">
        <v>295</v>
      </c>
      <c r="E1" s="65" t="s">
        <v>15</v>
      </c>
      <c r="H1" s="66" t="s">
        <v>198</v>
      </c>
      <c r="I1" s="9" t="str">
        <f>VLOOKUP(H1,APY!A:A,1,FALSE)</f>
        <v>ETH</v>
      </c>
    </row>
    <row r="2" spans="1:9">
      <c r="A2" s="66" t="s">
        <v>111</v>
      </c>
      <c r="B2" s="7" t="s">
        <v>168</v>
      </c>
      <c r="E2" s="66" t="s">
        <v>24</v>
      </c>
      <c r="H2" s="66" t="s">
        <v>185</v>
      </c>
      <c r="I2" s="9" t="str">
        <f>VLOOKUP(H2,APY!A:A,1,FALSE)</f>
        <v>BTC</v>
      </c>
    </row>
    <row r="3" spans="1:9">
      <c r="A3" s="66" t="s">
        <v>296</v>
      </c>
      <c r="E3" s="66" t="s">
        <v>25</v>
      </c>
      <c r="H3" s="66" t="s">
        <v>297</v>
      </c>
      <c r="I3" s="9" t="e">
        <f>VLOOKUP(H3,APY!A:A,1,FALSE)</f>
        <v>#N/A</v>
      </c>
    </row>
    <row r="4" spans="1:9">
      <c r="A4" s="66" t="s">
        <v>112</v>
      </c>
      <c r="B4" s="7" t="s">
        <v>168</v>
      </c>
      <c r="E4" s="66" t="s">
        <v>32</v>
      </c>
      <c r="H4" s="66" t="s">
        <v>151</v>
      </c>
      <c r="I4" s="9" t="str">
        <f>VLOOKUP(H4,APY!A:A,1,FALSE)</f>
        <v>CEL</v>
      </c>
    </row>
    <row r="5" spans="1:9">
      <c r="A5" s="66" t="s">
        <v>100</v>
      </c>
      <c r="B5" s="7" t="s">
        <v>168</v>
      </c>
      <c r="E5" s="66" t="s">
        <v>44</v>
      </c>
      <c r="H5" s="66" t="s">
        <v>230</v>
      </c>
      <c r="I5" s="9" t="str">
        <f>VLOOKUP(H5,APY!A:A,1,FALSE)</f>
        <v>SRM</v>
      </c>
    </row>
    <row r="6" spans="1:9">
      <c r="A6" s="66" t="s">
        <v>132</v>
      </c>
      <c r="B6" s="7" t="s">
        <v>168</v>
      </c>
      <c r="E6" s="66" t="s">
        <v>132</v>
      </c>
      <c r="H6" s="66" t="s">
        <v>214</v>
      </c>
      <c r="I6" s="9" t="str">
        <f>VLOOKUP(H6,APY!A:A,1,FALSE)</f>
        <v>MATIC</v>
      </c>
    </row>
    <row r="7" spans="1:9">
      <c r="A7" s="66" t="s">
        <v>131</v>
      </c>
      <c r="B7" s="7" t="s">
        <v>168</v>
      </c>
      <c r="E7" s="66" t="s">
        <v>296</v>
      </c>
      <c r="H7" s="66" t="s">
        <v>167</v>
      </c>
      <c r="I7" s="9" t="str">
        <f>VLOOKUP(H7,APY!A:A,1,FALSE)</f>
        <v>ADA</v>
      </c>
    </row>
    <row r="8" spans="1:9">
      <c r="E8" s="66" t="s">
        <v>41</v>
      </c>
      <c r="H8" s="66" t="s">
        <v>202</v>
      </c>
      <c r="I8" s="9" t="str">
        <f>VLOOKUP(H8,APY!A:A,1,FALSE)</f>
        <v>FTT</v>
      </c>
    </row>
    <row r="9" spans="1:9">
      <c r="E9" s="66" t="s">
        <v>16</v>
      </c>
      <c r="H9" s="66" t="s">
        <v>252</v>
      </c>
      <c r="I9" s="9" t="str">
        <f>VLOOKUP(H9,APY!A:A,1,FALSE)</f>
        <v>XRP</v>
      </c>
    </row>
    <row r="10" spans="1:9">
      <c r="E10" s="66" t="s">
        <v>12</v>
      </c>
      <c r="H10" s="66" t="s">
        <v>206</v>
      </c>
      <c r="I10" s="9" t="str">
        <f>VLOOKUP(H10,APY!A:A,1,FALSE)</f>
        <v>LINK</v>
      </c>
    </row>
    <row r="11" spans="1:9">
      <c r="E11" s="66" t="s">
        <v>14</v>
      </c>
      <c r="H11" s="66" t="s">
        <v>210</v>
      </c>
      <c r="I11" s="9" t="str">
        <f>VLOOKUP(H11,APY!A:A,1,FALSE)</f>
        <v>LUNA</v>
      </c>
    </row>
    <row r="12" spans="1:9">
      <c r="A12" s="66"/>
      <c r="E12" s="66" t="s">
        <v>29</v>
      </c>
      <c r="H12" s="66" t="s">
        <v>194</v>
      </c>
      <c r="I12" s="9" t="str">
        <f>VLOOKUP(H12,APY!A:A,1,FALSE)</f>
        <v>DOT</v>
      </c>
    </row>
    <row r="13" spans="1:9">
      <c r="A13" s="66"/>
      <c r="E13" s="66" t="s">
        <v>55</v>
      </c>
      <c r="H13" s="66" t="s">
        <v>209</v>
      </c>
      <c r="I13" s="9" t="str">
        <f>VLOOKUP(H13,APY!A:A,1,FALSE)</f>
        <v>LTC</v>
      </c>
    </row>
    <row r="14" spans="1:9">
      <c r="E14" s="66" t="s">
        <v>27</v>
      </c>
      <c r="H14" s="66" t="s">
        <v>233</v>
      </c>
      <c r="I14" s="9" t="str">
        <f>VLOOKUP(H14,APY!A:A,1,FALSE)</f>
        <v>SNX</v>
      </c>
    </row>
    <row r="15" spans="1:9">
      <c r="E15" s="66" t="s">
        <v>126</v>
      </c>
      <c r="H15" s="66" t="s">
        <v>166</v>
      </c>
      <c r="I15" s="9" t="str">
        <f>VLOOKUP(H15,APY!A:A,1,FALSE)</f>
        <v>AAVE</v>
      </c>
    </row>
    <row r="16" spans="1:9">
      <c r="E16" s="66" t="s">
        <v>295</v>
      </c>
      <c r="H16" s="66" t="s">
        <v>179</v>
      </c>
      <c r="I16" s="9" t="str">
        <f>VLOOKUP(H16,APY!A:A,1,FALSE)</f>
        <v>BCH</v>
      </c>
    </row>
    <row r="17" spans="5:9">
      <c r="E17" s="66" t="s">
        <v>21</v>
      </c>
      <c r="H17" s="66" t="s">
        <v>251</v>
      </c>
      <c r="I17" s="9" t="str">
        <f>VLOOKUP(H17,APY!A:A,1,FALSE)</f>
        <v>XLM</v>
      </c>
    </row>
    <row r="18" spans="5:9">
      <c r="E18" s="66" t="s">
        <v>111</v>
      </c>
      <c r="H18" s="66" t="s">
        <v>213</v>
      </c>
      <c r="I18" s="9" t="str">
        <f>VLOOKUP(H18,APY!A:A,1,FALSE)</f>
        <v>MANA</v>
      </c>
    </row>
    <row r="19" spans="5:9">
      <c r="E19" s="66" t="s">
        <v>112</v>
      </c>
      <c r="F19" s="7" t="s">
        <v>168</v>
      </c>
      <c r="H19" s="66" t="s">
        <v>164</v>
      </c>
      <c r="I19" s="9" t="str">
        <f>VLOOKUP(H19,APY!A:A,1,FALSE)</f>
        <v>1INCH</v>
      </c>
    </row>
    <row r="20" spans="5:9">
      <c r="E20" s="66" t="s">
        <v>100</v>
      </c>
      <c r="H20" s="66" t="s">
        <v>254</v>
      </c>
      <c r="I20" s="9" t="str">
        <f>VLOOKUP(H20,APY!A:A,1,FALSE)</f>
        <v>ZEC</v>
      </c>
    </row>
    <row r="21" spans="5:9">
      <c r="E21" s="66" t="s">
        <v>3</v>
      </c>
      <c r="H21" s="66" t="s">
        <v>180</v>
      </c>
      <c r="I21" s="9" t="str">
        <f>VLOOKUP(H21,APY!A:A,1,FALSE)</f>
        <v>BNB</v>
      </c>
    </row>
    <row r="22" spans="5:9">
      <c r="E22" s="66" t="s">
        <v>131</v>
      </c>
      <c r="H22" s="66" t="s">
        <v>244</v>
      </c>
      <c r="I22" s="9" t="str">
        <f>VLOOKUP(H22,APY!A:A,1,FALSE)</f>
        <v>UNI</v>
      </c>
    </row>
    <row r="23" spans="5:9">
      <c r="H23" s="66" t="s">
        <v>193</v>
      </c>
      <c r="I23" s="9" t="str">
        <f>VLOOKUP(H23,APY!A:A,1,FALSE)</f>
        <v>DIGG</v>
      </c>
    </row>
    <row r="24" spans="5:9">
      <c r="H24" s="66" t="s">
        <v>196</v>
      </c>
      <c r="I24" s="9" t="str">
        <f>VLOOKUP(H24,APY!A:A,1,FALSE)</f>
        <v>EOS</v>
      </c>
    </row>
    <row r="25" spans="5:9">
      <c r="H25" s="66" t="s">
        <v>192</v>
      </c>
      <c r="I25" s="9" t="str">
        <f>VLOOKUP(H25,APY!A:A,1,FALSE)</f>
        <v>DASH</v>
      </c>
    </row>
    <row r="26" spans="5:9">
      <c r="H26" s="66" t="s">
        <v>221</v>
      </c>
      <c r="I26" s="9" t="str">
        <f>VLOOKUP(H26,APY!A:A,1,FALSE)</f>
        <v>PAXG</v>
      </c>
    </row>
    <row r="27" spans="5:9">
      <c r="H27" s="66" t="s">
        <v>178</v>
      </c>
      <c r="I27" s="9" t="str">
        <f>VLOOKUP(H27,APY!A:A,1,FALSE)</f>
        <v>BAT</v>
      </c>
    </row>
    <row r="28" spans="5:9">
      <c r="H28" s="66" t="s">
        <v>181</v>
      </c>
      <c r="I28" s="9" t="str">
        <f>VLOOKUP(H28,APY!A:A,1,FALSE)</f>
        <v>BNT</v>
      </c>
    </row>
    <row r="29" spans="5:9">
      <c r="H29" s="66" t="s">
        <v>255</v>
      </c>
      <c r="I29" s="9" t="str">
        <f>VLOOKUP(H29,APY!A:A,1,FALSE)</f>
        <v>ZRX</v>
      </c>
    </row>
    <row r="30" spans="5:9">
      <c r="H30" s="66" t="s">
        <v>197</v>
      </c>
      <c r="I30" s="9" t="str">
        <f>VLOOKUP(H30,APY!A:A,1,FALSE)</f>
        <v>ETC</v>
      </c>
    </row>
    <row r="31" spans="5:9">
      <c r="H31" s="66" t="s">
        <v>239</v>
      </c>
      <c r="I31" s="9" t="str">
        <f>VLOOKUP(H31,APY!A:A,1,FALSE)</f>
        <v>TGBP</v>
      </c>
    </row>
    <row r="32" spans="5:9">
      <c r="H32" s="66" t="s">
        <v>176</v>
      </c>
      <c r="I32" s="9" t="str">
        <f>VLOOKUP(H32,APY!A:A,1,FALSE)</f>
        <v>BADGER</v>
      </c>
    </row>
    <row r="33" spans="1:12">
      <c r="H33" s="66" t="s">
        <v>232</v>
      </c>
      <c r="I33" s="9" t="str">
        <f>VLOOKUP(H33,APY!A:A,1,FALSE)</f>
        <v>SOL</v>
      </c>
    </row>
    <row r="34" spans="1:12">
      <c r="H34" s="66" t="s">
        <v>217</v>
      </c>
      <c r="I34" s="9" t="str">
        <f>VLOOKUP(H34,APY!A:A,1,FALSE)</f>
        <v>OMG</v>
      </c>
    </row>
    <row r="35" spans="1:12">
      <c r="H35" s="66" t="s">
        <v>190</v>
      </c>
      <c r="I35" s="9" t="str">
        <f>VLOOKUP(H35,APY!A:A,1,FALSE)</f>
        <v>CRV</v>
      </c>
    </row>
    <row r="36" spans="1:12">
      <c r="H36" s="66" t="s">
        <v>237</v>
      </c>
      <c r="I36" s="9" t="str">
        <f>VLOOKUP(H36,APY!A:A,1,FALSE)</f>
        <v>TAUD</v>
      </c>
    </row>
    <row r="37" spans="1:12">
      <c r="H37" s="66" t="s">
        <v>236</v>
      </c>
      <c r="I37" s="9" t="str">
        <f>VLOOKUP(H37,APY!A:A,1,FALSE)</f>
        <v>SUSHI</v>
      </c>
    </row>
    <row r="38" spans="1:12">
      <c r="H38" s="66" t="s">
        <v>184</v>
      </c>
      <c r="I38" s="9" t="str">
        <f>VLOOKUP(H38,APY!A:A,1,FALSE)</f>
        <v>BSV</v>
      </c>
      <c r="L38" s="7" t="s">
        <v>232</v>
      </c>
    </row>
    <row r="39" spans="1:12">
      <c r="H39" s="66" t="s">
        <v>188</v>
      </c>
      <c r="I39" s="9" t="str">
        <f>VLOOKUP(H39,APY!A:A,1,FALSE)</f>
        <v>COMP</v>
      </c>
      <c r="L39" s="7" t="s">
        <v>298</v>
      </c>
    </row>
    <row r="40" spans="1:12">
      <c r="H40" s="66" t="s">
        <v>238</v>
      </c>
      <c r="I40" s="9" t="str">
        <f>VLOOKUP(H40,APY!A:A,1,FALSE)</f>
        <v>TCAD</v>
      </c>
      <c r="L40" s="7" t="s">
        <v>299</v>
      </c>
    </row>
    <row r="41" spans="1:12">
      <c r="H41" s="66" t="s">
        <v>204</v>
      </c>
      <c r="I41" s="9" t="str">
        <f>VLOOKUP(H41,APY!A:A,1,FALSE)</f>
        <v>KNC</v>
      </c>
      <c r="L41" s="7" t="s">
        <v>300</v>
      </c>
    </row>
    <row r="42" spans="1:12">
      <c r="H42" s="66" t="s">
        <v>231</v>
      </c>
      <c r="I42" s="9" t="str">
        <f>VLOOKUP(H42,APY!A:A,1,FALSE)</f>
        <v>SRM_LOCKED</v>
      </c>
      <c r="L42" s="7" t="s">
        <v>301</v>
      </c>
    </row>
    <row r="43" spans="1:12">
      <c r="H43" s="66" t="s">
        <v>240</v>
      </c>
      <c r="I43" s="9" t="str">
        <f>VLOOKUP(H43,APY!A:A,1,FALSE)</f>
        <v>THKD</v>
      </c>
      <c r="L43" s="7" t="s">
        <v>302</v>
      </c>
    </row>
    <row r="44" spans="1:12">
      <c r="H44" s="66" t="s">
        <v>174</v>
      </c>
      <c r="I44" s="9" t="str">
        <f>VLOOKUP(H44,APY!A:A,1,FALSE)</f>
        <v>ATLAS</v>
      </c>
    </row>
    <row r="45" spans="1:12">
      <c r="H45" s="66" t="s">
        <v>298</v>
      </c>
      <c r="I45" s="9" t="e">
        <f>VLOOKUP(H45,APY!A:A,1,FALSE)</f>
        <v>#N/A</v>
      </c>
    </row>
    <row r="46" spans="1:12">
      <c r="H46" s="66" t="s">
        <v>299</v>
      </c>
      <c r="I46" s="9" t="e">
        <f>VLOOKUP(H46,APY!A:A,1,FALSE)</f>
        <v>#N/A</v>
      </c>
    </row>
    <row r="47" spans="1:12">
      <c r="A47" s="66"/>
      <c r="H47" s="66" t="s">
        <v>74</v>
      </c>
      <c r="I47" s="9" t="str">
        <f>VLOOKUP(H47,APY!A:A,1,FALSE)</f>
        <v>YFL</v>
      </c>
    </row>
    <row r="48" spans="1:12">
      <c r="A48" s="66"/>
      <c r="H48" s="66" t="s">
        <v>253</v>
      </c>
      <c r="I48" s="9" t="str">
        <f>VLOOKUP(H48,APY!A:A,1,FALSE)</f>
        <v>YFI</v>
      </c>
    </row>
    <row r="49" spans="1:9">
      <c r="A49" s="66"/>
      <c r="H49" s="66" t="s">
        <v>243</v>
      </c>
      <c r="I49" s="9" t="str">
        <f>VLOOKUP(H49,APY!A:A,1,FALSE)</f>
        <v>UMA</v>
      </c>
    </row>
    <row r="50" spans="1:9">
      <c r="A50" s="66"/>
      <c r="H50" s="66" t="s">
        <v>201</v>
      </c>
      <c r="I50" s="9" t="str">
        <f>VLOOKUP(H50,APY!A:A,1,FALSE)</f>
        <v>FTM</v>
      </c>
    </row>
    <row r="51" spans="1:9">
      <c r="A51" s="66"/>
      <c r="H51" s="66" t="s">
        <v>224</v>
      </c>
      <c r="I51" s="9" t="str">
        <f>VLOOKUP(H51,APY!A:A,1,FALSE)</f>
        <v>REN</v>
      </c>
    </row>
    <row r="52" spans="1:9">
      <c r="A52" s="66"/>
      <c r="H52" s="66" t="s">
        <v>207</v>
      </c>
      <c r="I52" s="9" t="str">
        <f>VLOOKUP(H52,APY!A:A,1,FALSE)</f>
        <v>LPT</v>
      </c>
    </row>
    <row r="53" spans="1:9">
      <c r="A53" s="66"/>
      <c r="H53" s="66" t="s">
        <v>249</v>
      </c>
      <c r="I53" s="9" t="str">
        <f>VLOOKUP(H53,APY!A:A,1,FALSE)</f>
        <v>WDGLD</v>
      </c>
    </row>
    <row r="54" spans="1:9">
      <c r="A54" s="66"/>
      <c r="H54" s="66" t="s">
        <v>191</v>
      </c>
      <c r="I54" s="9" t="str">
        <f>VLOOKUP(H54,APY!A:A,1,FALSE)</f>
        <v>CVX</v>
      </c>
    </row>
    <row r="55" spans="1:9">
      <c r="A55" s="66"/>
      <c r="H55" s="66" t="s">
        <v>222</v>
      </c>
      <c r="I55" s="9" t="str">
        <f>VLOOKUP(H55,APY!A:A,1,FALSE)</f>
        <v>QI</v>
      </c>
    </row>
    <row r="56" spans="1:9">
      <c r="A56" s="66"/>
      <c r="H56" s="66" t="s">
        <v>300</v>
      </c>
      <c r="I56" s="9" t="e">
        <f>VLOOKUP(H56,APY!A:A,1,FALSE)</f>
        <v>#N/A</v>
      </c>
    </row>
    <row r="57" spans="1:9">
      <c r="A57" s="66"/>
      <c r="H57" s="66" t="s">
        <v>205</v>
      </c>
      <c r="I57" s="9" t="str">
        <f>VLOOKUP(H57,APY!A:A,1,FALSE)</f>
        <v>LDO</v>
      </c>
    </row>
    <row r="58" spans="1:9">
      <c r="A58" s="66"/>
      <c r="H58" s="66" t="s">
        <v>250</v>
      </c>
      <c r="I58" s="9" t="str">
        <f>VLOOKUP(H58,APY!A:A,1,FALSE)</f>
        <v>XAUT</v>
      </c>
    </row>
    <row r="59" spans="1:9">
      <c r="A59" s="66"/>
      <c r="H59" s="66" t="s">
        <v>170</v>
      </c>
      <c r="I59" s="9" t="str">
        <f>VLOOKUP(H59,APY!A:A,1,FALSE)</f>
        <v>ALPHA</v>
      </c>
    </row>
    <row r="60" spans="1:9">
      <c r="A60" s="66"/>
      <c r="H60" s="66" t="s">
        <v>241</v>
      </c>
      <c r="I60" s="9" t="str">
        <f>VLOOKUP(H60,APY!A:A,1,FALSE)</f>
        <v>TRU</v>
      </c>
    </row>
    <row r="61" spans="1:9">
      <c r="A61" s="66"/>
      <c r="H61" s="66" t="s">
        <v>175</v>
      </c>
      <c r="I61" s="9" t="str">
        <f>VLOOKUP(H61,APY!A:A,1,FALSE)</f>
        <v>AVAX</v>
      </c>
    </row>
    <row r="62" spans="1:9">
      <c r="A62" s="66"/>
      <c r="H62" s="66" t="s">
        <v>177</v>
      </c>
      <c r="I62" s="9" t="str">
        <f>VLOOKUP(H62,APY!A:A,1,FALSE)</f>
        <v>BAL</v>
      </c>
    </row>
    <row r="63" spans="1:9">
      <c r="A63" s="66"/>
      <c r="H63" s="66" t="s">
        <v>186</v>
      </c>
      <c r="I63" s="9" t="str">
        <f>VLOOKUP(H63,APY!A:A,1,FALSE)</f>
        <v>BTG</v>
      </c>
    </row>
    <row r="64" spans="1:9">
      <c r="A64" s="66"/>
      <c r="H64" s="66" t="s">
        <v>248</v>
      </c>
      <c r="I64" s="9" t="str">
        <f>VLOOKUP(H64,APY!A:A,1,FALSE)</f>
        <v>VSP</v>
      </c>
    </row>
    <row r="65" spans="1:9">
      <c r="A65" s="66"/>
      <c r="H65" s="66" t="s">
        <v>223</v>
      </c>
      <c r="I65" s="9" t="str">
        <f>VLOOKUP(H65,APY!A:A,1,FALSE)</f>
        <v>PNT</v>
      </c>
    </row>
    <row r="66" spans="1:9">
      <c r="A66" s="66"/>
      <c r="H66" s="66" t="s">
        <v>226</v>
      </c>
      <c r="I66" s="9" t="str">
        <f>VLOOKUP(H66,APY!A:A,1,FALSE)</f>
        <v>ROOK</v>
      </c>
    </row>
    <row r="67" spans="1:9">
      <c r="A67" s="66"/>
      <c r="H67" s="66" t="s">
        <v>200</v>
      </c>
      <c r="I67" s="9" t="str">
        <f>VLOOKUP(H67,APY!A:A,1,FALSE)</f>
        <v>FIS</v>
      </c>
    </row>
    <row r="68" spans="1:9">
      <c r="A68" s="66"/>
      <c r="H68" s="66" t="s">
        <v>216</v>
      </c>
      <c r="I68" s="9" t="str">
        <f>VLOOKUP(H68,APY!A:A,1,FALSE)</f>
        <v>MKR</v>
      </c>
    </row>
    <row r="69" spans="1:9">
      <c r="A69" s="66"/>
      <c r="H69" s="66" t="s">
        <v>219</v>
      </c>
      <c r="I69" s="9" t="str">
        <f>VLOOKUP(H69,APY!A:A,1,FALSE)</f>
        <v>ORBS</v>
      </c>
    </row>
    <row r="70" spans="1:9">
      <c r="A70" s="66"/>
      <c r="H70" s="66" t="s">
        <v>199</v>
      </c>
      <c r="I70" s="9" t="str">
        <f>VLOOKUP(H70,APY!A:A,1,FALSE)</f>
        <v>FARM</v>
      </c>
    </row>
    <row r="71" spans="1:9">
      <c r="A71" s="66"/>
      <c r="H71" s="66" t="s">
        <v>182</v>
      </c>
      <c r="I71" s="9" t="str">
        <f>VLOOKUP(H71,APY!A:A,1,FALSE)</f>
        <v>BOND</v>
      </c>
    </row>
    <row r="72" spans="1:9">
      <c r="A72" s="66"/>
      <c r="H72" s="66" t="s">
        <v>172</v>
      </c>
      <c r="I72" s="9" t="str">
        <f>VLOOKUP(H72,APY!A:A,1,FALSE)</f>
        <v>AMPL</v>
      </c>
    </row>
    <row r="73" spans="1:9">
      <c r="A73" s="66"/>
      <c r="H73" s="66" t="s">
        <v>173</v>
      </c>
      <c r="I73" s="9" t="str">
        <f>VLOOKUP(H73,APY!A:A,1,FALSE)</f>
        <v>ANKR</v>
      </c>
    </row>
    <row r="74" spans="1:9">
      <c r="A74" s="66"/>
      <c r="H74" s="66" t="s">
        <v>165</v>
      </c>
      <c r="I74" s="9" t="str">
        <f>VLOOKUP(H74,APY!A:A,1,FALSE)</f>
        <v>3CRV</v>
      </c>
    </row>
    <row r="75" spans="1:9">
      <c r="A75" s="66"/>
      <c r="H75" s="66" t="s">
        <v>218</v>
      </c>
      <c r="I75" s="9" t="str">
        <f>VLOOKUP(H75,APY!A:A,1,FALSE)</f>
        <v>ONX</v>
      </c>
    </row>
    <row r="76" spans="1:9">
      <c r="A76" s="66"/>
      <c r="H76" s="66" t="s">
        <v>208</v>
      </c>
      <c r="I76" s="9" t="str">
        <f>VLOOKUP(H76,APY!A:A,1,FALSE)</f>
        <v>LQTY</v>
      </c>
    </row>
    <row r="77" spans="1:9">
      <c r="A77" s="66"/>
      <c r="H77" s="66" t="s">
        <v>229</v>
      </c>
      <c r="I77" s="9" t="str">
        <f>VLOOKUP(H77,APY!A:A,1,FALSE)</f>
        <v>SGR</v>
      </c>
    </row>
    <row r="78" spans="1:9">
      <c r="A78" s="66"/>
      <c r="H78" s="66" t="s">
        <v>189</v>
      </c>
      <c r="I78" s="9" t="str">
        <f>VLOOKUP(H78,APY!A:A,1,FALSE)</f>
        <v>CREAM</v>
      </c>
    </row>
    <row r="79" spans="1:9">
      <c r="A79" s="66"/>
      <c r="H79" s="66" t="s">
        <v>301</v>
      </c>
      <c r="I79" s="9" t="e">
        <f>VLOOKUP(H79,APY!A:A,1,FALSE)</f>
        <v>#N/A</v>
      </c>
    </row>
    <row r="80" spans="1:9">
      <c r="A80" s="66"/>
      <c r="H80" s="66" t="s">
        <v>302</v>
      </c>
      <c r="I80" s="9" t="e">
        <f>VLOOKUP(H80,APY!A:A,1,FALSE)</f>
        <v>#N/A</v>
      </c>
    </row>
    <row r="81" spans="1:1">
      <c r="A81" s="66"/>
    </row>
    <row r="82" spans="1:1">
      <c r="A82" s="66"/>
    </row>
    <row r="83" spans="1:1">
      <c r="A83" s="66"/>
    </row>
    <row r="84" spans="1:1">
      <c r="A84" s="66"/>
    </row>
    <row r="85" spans="1:1">
      <c r="A85" s="66"/>
    </row>
    <row r="86" spans="1:1">
      <c r="A86" s="66"/>
    </row>
    <row r="87" spans="1:1">
      <c r="A87" s="66"/>
    </row>
    <row r="88" spans="1:1">
      <c r="A88" s="66"/>
    </row>
    <row r="89" spans="1:1">
      <c r="A89" s="66"/>
    </row>
    <row r="90" spans="1:1">
      <c r="A90" s="66"/>
    </row>
    <row r="91" spans="1:1">
      <c r="A91" s="66"/>
    </row>
  </sheetData>
  <customSheetViews>
    <customSheetView guid="{35413393-C195-47D6-A72E-49FFB6143B63}" filter="1" showAutoFilter="1">
      <pageMargins left="0.7" right="0.7" top="0.75" bottom="0.75" header="0.3" footer="0.3"/>
      <autoFilter ref="H1:I1000" xr:uid="{7E643D97-F0A4-F24F-8120-23E68758DA3B}">
        <filterColumn colId="1">
          <filters blank="1">
            <filter val="#N/A"/>
            <filter val="ADA"/>
            <filter val="BCH"/>
            <filter val="BNB"/>
            <filter val="BOND"/>
            <filter val="BSV"/>
            <filter val="BTG"/>
            <filter val="CREAM"/>
            <filter val="DASH"/>
            <filter val="DOT"/>
            <filter val="EOS"/>
            <filter val="LDO"/>
            <filter val="LPT"/>
            <filter val="LUNA"/>
            <filter val="OMG"/>
            <filter val="ORBS"/>
            <filter val="PAXG"/>
            <filter val="REN"/>
            <filter val="SGR"/>
            <filter val="SOL"/>
            <filter val="SRM"/>
            <filter val="SUSHI"/>
            <filter val="TAUD"/>
            <filter val="TCAD"/>
            <filter val="TGBP"/>
            <filter val="THKD"/>
            <filter val="UMA"/>
            <filter val="UNI"/>
            <filter val="WDGLD"/>
            <filter val="XAUT"/>
            <filter val="XLM"/>
            <filter val="XRP"/>
            <filter val="YFI"/>
            <filter val="YFL"/>
            <filter val="ZEC"/>
          </filters>
        </filterColumn>
      </autoFilter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T100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baseColWidth="10" defaultColWidth="12.6640625" defaultRowHeight="15" customHeight="1"/>
  <cols>
    <col min="1" max="1" width="10.1640625" customWidth="1"/>
    <col min="2" max="2" width="12.83203125" customWidth="1"/>
    <col min="3" max="3" width="13.1640625" customWidth="1"/>
    <col min="4" max="4" width="19.1640625" customWidth="1"/>
    <col min="5" max="5" width="9.6640625" customWidth="1"/>
    <col min="6" max="6" width="10.6640625" customWidth="1"/>
    <col min="7" max="7" width="8.1640625" customWidth="1"/>
    <col min="8" max="8" width="8.6640625" customWidth="1"/>
    <col min="9" max="9" width="13.83203125" customWidth="1"/>
    <col min="10" max="11" width="9.1640625" customWidth="1"/>
    <col min="12" max="12" width="8.1640625" customWidth="1"/>
    <col min="13" max="13" width="6.33203125" customWidth="1"/>
    <col min="14" max="14" width="8.1640625" customWidth="1"/>
    <col min="15" max="23" width="7.6640625" customWidth="1"/>
    <col min="24" max="24" width="8.5" customWidth="1"/>
    <col min="25" max="25" width="8.6640625" customWidth="1"/>
    <col min="26" max="26" width="13.6640625" customWidth="1"/>
    <col min="27" max="27" width="12.33203125" customWidth="1"/>
    <col min="28" max="28" width="9.33203125" customWidth="1"/>
    <col min="29" max="29" width="12.1640625" customWidth="1"/>
    <col min="30" max="30" width="15.6640625" customWidth="1"/>
    <col min="31" max="31" width="18.33203125" customWidth="1"/>
    <col min="32" max="32" width="11.33203125" customWidth="1"/>
    <col min="33" max="33" width="12.33203125" customWidth="1"/>
    <col min="34" max="34" width="11.83203125" customWidth="1"/>
    <col min="35" max="35" width="11.6640625" customWidth="1"/>
    <col min="36" max="36" width="10.1640625" customWidth="1"/>
    <col min="37" max="37" width="10" customWidth="1"/>
    <col min="38" max="38" width="13" customWidth="1"/>
    <col min="39" max="39" width="12.1640625" customWidth="1"/>
    <col min="40" max="40" width="11.5" customWidth="1"/>
    <col min="41" max="41" width="6.33203125" customWidth="1"/>
    <col min="42" max="42" width="12.6640625" customWidth="1"/>
    <col min="43" max="43" width="11.6640625" customWidth="1"/>
    <col min="44" max="44" width="7.83203125" customWidth="1"/>
    <col min="45" max="45" width="12" customWidth="1"/>
    <col min="46" max="46" width="7" customWidth="1"/>
    <col min="47" max="47" width="6.33203125" customWidth="1"/>
    <col min="48" max="48" width="5.5" customWidth="1"/>
    <col min="49" max="49" width="16.33203125" customWidth="1"/>
    <col min="50" max="50" width="22.1640625" customWidth="1"/>
    <col min="51" max="51" width="6.83203125" customWidth="1"/>
    <col min="52" max="53" width="19.6640625" customWidth="1"/>
    <col min="54" max="54" width="14.6640625" customWidth="1"/>
    <col min="55" max="56" width="9.6640625" customWidth="1"/>
    <col min="57" max="57" width="11.83203125" customWidth="1"/>
    <col min="58" max="58" width="16.1640625" customWidth="1"/>
    <col min="59" max="59" width="13.1640625" customWidth="1"/>
    <col min="60" max="60" width="19.5" customWidth="1"/>
    <col min="61" max="61" width="15.5" customWidth="1"/>
    <col min="62" max="62" width="17" customWidth="1"/>
    <col min="63" max="63" width="15.1640625" customWidth="1"/>
    <col min="64" max="64" width="15.5" customWidth="1"/>
    <col min="65" max="65" width="16.33203125" customWidth="1"/>
    <col min="66" max="68" width="14.1640625" customWidth="1"/>
    <col min="69" max="69" width="15.6640625" customWidth="1"/>
    <col min="70" max="70" width="16.1640625" customWidth="1"/>
    <col min="71" max="71" width="14" customWidth="1"/>
    <col min="72" max="72" width="15.6640625" customWidth="1"/>
    <col min="73" max="73" width="17.5" customWidth="1"/>
    <col min="74" max="74" width="16.33203125" customWidth="1"/>
    <col min="75" max="75" width="17" customWidth="1"/>
    <col min="76" max="76" width="16.5" customWidth="1"/>
    <col min="77" max="77" width="16.1640625" customWidth="1"/>
    <col min="78" max="78" width="16.6640625" customWidth="1"/>
    <col min="79" max="79" width="15.5" customWidth="1"/>
    <col min="80" max="80" width="16.1640625" customWidth="1"/>
    <col min="81" max="81" width="17.1640625" customWidth="1"/>
    <col min="82" max="82" width="15" customWidth="1"/>
    <col min="83" max="83" width="18.6640625" customWidth="1"/>
    <col min="84" max="84" width="14.1640625" customWidth="1"/>
    <col min="85" max="85" width="15.33203125" customWidth="1"/>
    <col min="86" max="86" width="16.83203125" customWidth="1"/>
    <col min="87" max="87" width="14.6640625" customWidth="1"/>
    <col min="88" max="88" width="14" customWidth="1"/>
    <col min="89" max="89" width="14.6640625" customWidth="1"/>
    <col min="90" max="90" width="20" customWidth="1"/>
    <col min="91" max="91" width="15.1640625" customWidth="1"/>
    <col min="92" max="92" width="16.1640625" customWidth="1"/>
    <col min="93" max="93" width="15" customWidth="1"/>
    <col min="94" max="94" width="25.5" customWidth="1"/>
    <col min="95" max="95" width="26.33203125" customWidth="1"/>
    <col min="96" max="96" width="22" customWidth="1"/>
    <col min="97" max="97" width="12" customWidth="1"/>
    <col min="98" max="98" width="16" customWidth="1"/>
    <col min="99" max="99" width="5.5" customWidth="1"/>
    <col min="100" max="100" width="14.1640625" customWidth="1"/>
    <col min="101" max="101" width="14.83203125" customWidth="1"/>
    <col min="102" max="102" width="15.33203125" customWidth="1"/>
    <col min="103" max="124" width="19.1640625" customWidth="1"/>
  </cols>
  <sheetData>
    <row r="1" spans="1:124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19" t="s">
        <v>30</v>
      </c>
      <c r="AC1" s="1" t="s">
        <v>31</v>
      </c>
      <c r="AD1" s="1" t="s">
        <v>24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20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21" t="s">
        <v>61</v>
      </c>
      <c r="BI1" s="1" t="s">
        <v>62</v>
      </c>
      <c r="BJ1" s="1" t="s">
        <v>63</v>
      </c>
      <c r="BK1" s="2" t="s">
        <v>259</v>
      </c>
      <c r="BL1" s="1" t="s">
        <v>65</v>
      </c>
      <c r="BM1" s="1" t="s">
        <v>260</v>
      </c>
      <c r="BN1" s="21" t="s">
        <v>67</v>
      </c>
      <c r="BO1" s="21" t="s">
        <v>68</v>
      </c>
      <c r="BP1" s="1" t="s">
        <v>261</v>
      </c>
      <c r="BQ1" s="1" t="s">
        <v>70</v>
      </c>
      <c r="BR1" s="1" t="s">
        <v>71</v>
      </c>
      <c r="BS1" s="2" t="s">
        <v>262</v>
      </c>
      <c r="BT1" s="1" t="s">
        <v>73</v>
      </c>
      <c r="BU1" s="1" t="s">
        <v>263</v>
      </c>
      <c r="BV1" s="1" t="s">
        <v>75</v>
      </c>
      <c r="BW1" s="1" t="s">
        <v>76</v>
      </c>
      <c r="BX1" s="1" t="s">
        <v>77</v>
      </c>
      <c r="BY1" s="1" t="s">
        <v>78</v>
      </c>
      <c r="BZ1" s="1" t="s">
        <v>112</v>
      </c>
      <c r="CA1" s="1" t="s">
        <v>80</v>
      </c>
      <c r="CB1" s="1" t="s">
        <v>264</v>
      </c>
      <c r="CC1" s="1" t="s">
        <v>82</v>
      </c>
      <c r="CD1" s="1" t="s">
        <v>83</v>
      </c>
      <c r="CE1" s="1" t="s">
        <v>84</v>
      </c>
      <c r="CF1" s="1" t="s">
        <v>85</v>
      </c>
      <c r="CG1" s="1" t="s">
        <v>86</v>
      </c>
      <c r="CH1" s="1" t="s">
        <v>265</v>
      </c>
      <c r="CI1" s="1" t="s">
        <v>88</v>
      </c>
      <c r="CJ1" s="1" t="s">
        <v>89</v>
      </c>
      <c r="CK1" s="1" t="s">
        <v>90</v>
      </c>
      <c r="CL1" s="1" t="s">
        <v>91</v>
      </c>
      <c r="CM1" s="1" t="s">
        <v>92</v>
      </c>
      <c r="CN1" s="1" t="s">
        <v>93</v>
      </c>
      <c r="CO1" s="1" t="s">
        <v>94</v>
      </c>
      <c r="CP1" s="1" t="s">
        <v>95</v>
      </c>
      <c r="CQ1" s="1" t="s">
        <v>96</v>
      </c>
      <c r="CR1" s="1" t="s">
        <v>97</v>
      </c>
      <c r="CS1" s="1" t="s">
        <v>98</v>
      </c>
      <c r="CT1" s="1" t="s">
        <v>99</v>
      </c>
      <c r="CU1" s="1" t="s">
        <v>233</v>
      </c>
      <c r="CV1" s="1" t="s">
        <v>101</v>
      </c>
      <c r="CW1" s="1" t="s">
        <v>102</v>
      </c>
      <c r="CX1" s="1" t="s">
        <v>103</v>
      </c>
      <c r="CY1" s="22" t="s">
        <v>104</v>
      </c>
      <c r="CZ1" s="23" t="s">
        <v>105</v>
      </c>
      <c r="DA1" s="23" t="s">
        <v>106</v>
      </c>
      <c r="DB1" s="23" t="s">
        <v>107</v>
      </c>
      <c r="DC1" s="23" t="s">
        <v>108</v>
      </c>
      <c r="DD1" s="23" t="s">
        <v>266</v>
      </c>
      <c r="DE1" s="23" t="s">
        <v>110</v>
      </c>
      <c r="DF1" s="23" t="s">
        <v>113</v>
      </c>
      <c r="DG1" s="23" t="s">
        <v>114</v>
      </c>
      <c r="DH1" s="24" t="s">
        <v>115</v>
      </c>
      <c r="DI1" s="24" t="s">
        <v>116</v>
      </c>
      <c r="DJ1" s="24" t="s">
        <v>117</v>
      </c>
      <c r="DK1" s="24" t="s">
        <v>118</v>
      </c>
      <c r="DL1" s="24" t="s">
        <v>119</v>
      </c>
      <c r="DM1" s="24" t="s">
        <v>120</v>
      </c>
      <c r="DN1" s="24" t="s">
        <v>267</v>
      </c>
      <c r="DO1" s="23" t="s">
        <v>122</v>
      </c>
      <c r="DP1" s="23" t="s">
        <v>123</v>
      </c>
      <c r="DQ1" s="23" t="s">
        <v>124</v>
      </c>
      <c r="DR1" s="23" t="s">
        <v>125</v>
      </c>
      <c r="DS1" s="25" t="s">
        <v>126</v>
      </c>
      <c r="DT1" s="23" t="s">
        <v>134</v>
      </c>
    </row>
    <row r="2" spans="1:124">
      <c r="A2" s="7" t="s">
        <v>139</v>
      </c>
      <c r="B2" s="7" t="s">
        <v>140</v>
      </c>
      <c r="C2" s="7" t="s">
        <v>140</v>
      </c>
      <c r="D2" s="7" t="s">
        <v>140</v>
      </c>
      <c r="E2" s="7" t="s">
        <v>140</v>
      </c>
      <c r="F2" s="7" t="s">
        <v>6</v>
      </c>
      <c r="G2" s="7" t="s">
        <v>7</v>
      </c>
      <c r="H2" s="7" t="s">
        <v>141</v>
      </c>
      <c r="I2" s="7" t="s">
        <v>9</v>
      </c>
      <c r="J2" s="7" t="s">
        <v>140</v>
      </c>
      <c r="K2" s="7" t="s">
        <v>142</v>
      </c>
      <c r="L2" s="7" t="s">
        <v>143</v>
      </c>
      <c r="M2" s="7" t="s">
        <v>143</v>
      </c>
      <c r="N2" s="7" t="s">
        <v>144</v>
      </c>
      <c r="O2" s="7" t="s">
        <v>144</v>
      </c>
      <c r="P2" s="7" t="s">
        <v>145</v>
      </c>
      <c r="Q2" s="7" t="s">
        <v>144</v>
      </c>
      <c r="R2" s="7" t="s">
        <v>144</v>
      </c>
      <c r="S2" s="7" t="s">
        <v>144</v>
      </c>
      <c r="T2" s="7" t="s">
        <v>144</v>
      </c>
      <c r="U2" s="7" t="s">
        <v>144</v>
      </c>
      <c r="V2" s="7" t="s">
        <v>144</v>
      </c>
      <c r="W2" s="7" t="s">
        <v>144</v>
      </c>
      <c r="X2" s="7" t="s">
        <v>144</v>
      </c>
      <c r="Y2" s="7" t="s">
        <v>144</v>
      </c>
      <c r="Z2" s="7" t="s">
        <v>144</v>
      </c>
      <c r="AA2" s="7" t="s">
        <v>144</v>
      </c>
      <c r="AB2" s="7" t="s">
        <v>144</v>
      </c>
      <c r="AC2" s="7" t="s">
        <v>144</v>
      </c>
      <c r="AD2" s="7" t="s">
        <v>144</v>
      </c>
      <c r="AE2" s="7" t="s">
        <v>144</v>
      </c>
      <c r="AF2" s="7" t="s">
        <v>144</v>
      </c>
      <c r="AG2" s="7" t="s">
        <v>144</v>
      </c>
      <c r="AH2" s="7" t="s">
        <v>144</v>
      </c>
      <c r="AI2" s="7" t="s">
        <v>144</v>
      </c>
      <c r="AJ2" s="7" t="s">
        <v>144</v>
      </c>
      <c r="AK2" s="7" t="s">
        <v>146</v>
      </c>
      <c r="AL2" s="7" t="s">
        <v>146</v>
      </c>
      <c r="AM2" s="7" t="s">
        <v>146</v>
      </c>
      <c r="AN2" s="7" t="s">
        <v>146</v>
      </c>
      <c r="AO2" s="7" t="s">
        <v>42</v>
      </c>
      <c r="AP2" s="7" t="s">
        <v>147</v>
      </c>
      <c r="AQ2" s="7" t="s">
        <v>148</v>
      </c>
      <c r="AR2" s="7" t="s">
        <v>144</v>
      </c>
      <c r="AS2" s="7" t="s">
        <v>144</v>
      </c>
      <c r="AT2" s="7" t="s">
        <v>144</v>
      </c>
      <c r="AU2" s="7" t="s">
        <v>144</v>
      </c>
      <c r="AV2" s="7" t="s">
        <v>144</v>
      </c>
      <c r="AW2" s="7" t="s">
        <v>145</v>
      </c>
      <c r="AX2" s="7" t="s">
        <v>145</v>
      </c>
      <c r="AY2" s="7" t="s">
        <v>145</v>
      </c>
      <c r="AZ2" s="8" t="s">
        <v>9</v>
      </c>
      <c r="BA2" s="7" t="s">
        <v>145</v>
      </c>
      <c r="BB2" s="7" t="s">
        <v>149</v>
      </c>
      <c r="BC2" s="7" t="s">
        <v>145</v>
      </c>
      <c r="BD2" s="7" t="s">
        <v>145</v>
      </c>
      <c r="BE2" s="7" t="s">
        <v>145</v>
      </c>
      <c r="BF2" s="7" t="s">
        <v>145</v>
      </c>
      <c r="BG2" s="7" t="s">
        <v>145</v>
      </c>
      <c r="BH2" s="7" t="s">
        <v>145</v>
      </c>
      <c r="BI2" s="7" t="s">
        <v>145</v>
      </c>
      <c r="BJ2" s="8" t="s">
        <v>9</v>
      </c>
      <c r="BK2" s="7" t="s">
        <v>145</v>
      </c>
      <c r="BL2" s="7" t="s">
        <v>145</v>
      </c>
      <c r="BM2" s="7" t="s">
        <v>145</v>
      </c>
      <c r="BN2" s="7" t="s">
        <v>145</v>
      </c>
      <c r="BO2" s="7" t="s">
        <v>145</v>
      </c>
      <c r="BP2" s="7" t="s">
        <v>145</v>
      </c>
      <c r="BQ2" s="7" t="s">
        <v>145</v>
      </c>
      <c r="BR2" s="7" t="s">
        <v>145</v>
      </c>
      <c r="BS2" s="7" t="s">
        <v>145</v>
      </c>
      <c r="BT2" s="7" t="s">
        <v>145</v>
      </c>
      <c r="BU2" s="7" t="s">
        <v>145</v>
      </c>
      <c r="BV2" s="7" t="s">
        <v>145</v>
      </c>
      <c r="BW2" s="7" t="s">
        <v>145</v>
      </c>
      <c r="BX2" s="7" t="s">
        <v>145</v>
      </c>
      <c r="BY2" s="7" t="s">
        <v>145</v>
      </c>
      <c r="BZ2" s="7" t="s">
        <v>145</v>
      </c>
      <c r="CA2" s="7" t="s">
        <v>145</v>
      </c>
      <c r="CB2" s="7" t="s">
        <v>145</v>
      </c>
      <c r="CC2" s="7" t="s">
        <v>145</v>
      </c>
      <c r="CD2" s="7" t="s">
        <v>145</v>
      </c>
      <c r="CE2" s="7" t="s">
        <v>145</v>
      </c>
      <c r="CF2" s="7" t="s">
        <v>145</v>
      </c>
      <c r="CG2" s="7" t="s">
        <v>145</v>
      </c>
      <c r="CH2" s="7" t="s">
        <v>145</v>
      </c>
      <c r="CI2" s="7" t="s">
        <v>145</v>
      </c>
      <c r="CJ2" s="7" t="s">
        <v>145</v>
      </c>
      <c r="CK2" s="7" t="s">
        <v>145</v>
      </c>
      <c r="CL2" s="7" t="s">
        <v>146</v>
      </c>
      <c r="CM2" s="7" t="s">
        <v>145</v>
      </c>
      <c r="CN2" s="7" t="s">
        <v>145</v>
      </c>
      <c r="CO2" s="7" t="s">
        <v>145</v>
      </c>
      <c r="CP2" s="7" t="s">
        <v>145</v>
      </c>
      <c r="CQ2" s="7" t="s">
        <v>145</v>
      </c>
      <c r="CR2" s="7" t="s">
        <v>145</v>
      </c>
      <c r="CS2" s="7" t="s">
        <v>145</v>
      </c>
      <c r="CT2" s="7" t="s">
        <v>145</v>
      </c>
      <c r="CU2" s="7" t="s">
        <v>145</v>
      </c>
      <c r="CV2" s="7" t="s">
        <v>145</v>
      </c>
      <c r="CW2" s="7" t="s">
        <v>145</v>
      </c>
      <c r="CX2" s="7" t="s">
        <v>145</v>
      </c>
      <c r="CY2" s="7" t="s">
        <v>145</v>
      </c>
      <c r="CZ2" s="7" t="s">
        <v>144</v>
      </c>
      <c r="DA2" s="7" t="s">
        <v>145</v>
      </c>
      <c r="DB2" s="7" t="s">
        <v>145</v>
      </c>
      <c r="DC2" s="7" t="s">
        <v>145</v>
      </c>
      <c r="DD2" s="7" t="s">
        <v>145</v>
      </c>
      <c r="DE2" s="7" t="s">
        <v>145</v>
      </c>
      <c r="DF2" s="7" t="s">
        <v>145</v>
      </c>
      <c r="DG2" s="7" t="s">
        <v>146</v>
      </c>
      <c r="DH2" s="7" t="s">
        <v>145</v>
      </c>
      <c r="DI2" s="7" t="s">
        <v>145</v>
      </c>
      <c r="DJ2" s="7" t="s">
        <v>145</v>
      </c>
      <c r="DK2" s="7" t="s">
        <v>145</v>
      </c>
      <c r="DL2" s="7" t="s">
        <v>145</v>
      </c>
      <c r="DM2" s="7" t="s">
        <v>145</v>
      </c>
      <c r="DN2" s="7" t="s">
        <v>145</v>
      </c>
      <c r="DO2" s="7" t="s">
        <v>146</v>
      </c>
      <c r="DP2" s="7" t="s">
        <v>145</v>
      </c>
      <c r="DQ2" s="7" t="s">
        <v>146</v>
      </c>
      <c r="DR2" s="7" t="s">
        <v>146</v>
      </c>
      <c r="DS2" s="7" t="s">
        <v>151</v>
      </c>
      <c r="DT2" s="7" t="s">
        <v>146</v>
      </c>
    </row>
    <row r="3" spans="1:124">
      <c r="A3" s="7" t="s">
        <v>268</v>
      </c>
      <c r="B3" s="9" t="s">
        <v>154</v>
      </c>
      <c r="C3" s="9" t="s">
        <v>154</v>
      </c>
      <c r="D3" s="7">
        <v>1</v>
      </c>
      <c r="E3" s="9" t="s">
        <v>154</v>
      </c>
      <c r="F3" s="9" t="s">
        <v>154</v>
      </c>
      <c r="G3" s="7">
        <v>1</v>
      </c>
      <c r="H3" s="9" t="s">
        <v>155</v>
      </c>
      <c r="I3" s="9" t="s">
        <v>156</v>
      </c>
      <c r="J3" s="9" t="s">
        <v>156</v>
      </c>
      <c r="K3" s="9" t="s">
        <v>156</v>
      </c>
      <c r="L3" s="9" t="s">
        <v>156</v>
      </c>
      <c r="M3" s="9" t="s">
        <v>156</v>
      </c>
      <c r="N3" s="9" t="s">
        <v>155</v>
      </c>
      <c r="O3" s="9" t="s">
        <v>155</v>
      </c>
      <c r="P3" s="10">
        <v>2</v>
      </c>
      <c r="Q3" s="9" t="s">
        <v>155</v>
      </c>
      <c r="R3" s="9" t="s">
        <v>155</v>
      </c>
      <c r="S3" s="9" t="s">
        <v>155</v>
      </c>
      <c r="T3" s="9" t="s">
        <v>155</v>
      </c>
      <c r="U3" s="9" t="s">
        <v>155</v>
      </c>
      <c r="V3" s="9" t="s">
        <v>155</v>
      </c>
      <c r="W3" s="9" t="s">
        <v>155</v>
      </c>
      <c r="X3" s="9" t="s">
        <v>155</v>
      </c>
      <c r="Y3" s="9" t="s">
        <v>155</v>
      </c>
      <c r="Z3" s="9" t="s">
        <v>155</v>
      </c>
      <c r="AA3" s="9" t="s">
        <v>155</v>
      </c>
      <c r="AB3" s="7">
        <v>2</v>
      </c>
      <c r="AC3" s="9" t="s">
        <v>155</v>
      </c>
      <c r="AD3" s="9" t="s">
        <v>155</v>
      </c>
      <c r="AE3" s="9" t="s">
        <v>155</v>
      </c>
      <c r="AF3" s="9" t="s">
        <v>155</v>
      </c>
      <c r="AG3" s="9" t="s">
        <v>157</v>
      </c>
      <c r="AH3" s="9" t="s">
        <v>157</v>
      </c>
      <c r="AI3" s="9" t="s">
        <v>156</v>
      </c>
      <c r="AJ3" s="9" t="s">
        <v>156</v>
      </c>
      <c r="AK3" s="9" t="s">
        <v>156</v>
      </c>
      <c r="AL3" s="9" t="s">
        <v>156</v>
      </c>
      <c r="AM3" s="7">
        <v>2</v>
      </c>
      <c r="AN3" s="9" t="s">
        <v>156</v>
      </c>
      <c r="AO3" s="9" t="s">
        <v>156</v>
      </c>
      <c r="AP3" s="9" t="s">
        <v>155</v>
      </c>
      <c r="AQ3" s="9" t="s">
        <v>156</v>
      </c>
      <c r="AR3" s="7">
        <v>4</v>
      </c>
      <c r="AS3" s="9" t="s">
        <v>156</v>
      </c>
      <c r="AT3" s="9" t="s">
        <v>156</v>
      </c>
      <c r="AU3" s="9" t="s">
        <v>155</v>
      </c>
      <c r="AV3" s="9" t="s">
        <v>156</v>
      </c>
      <c r="AW3" s="9" t="s">
        <v>157</v>
      </c>
      <c r="AX3" s="9" t="s">
        <v>156</v>
      </c>
      <c r="AY3" s="9" t="s">
        <v>157</v>
      </c>
      <c r="AZ3" s="9" t="s">
        <v>156</v>
      </c>
      <c r="BA3" s="9" t="s">
        <v>157</v>
      </c>
      <c r="BB3" s="9" t="s">
        <v>154</v>
      </c>
      <c r="BC3" s="9" t="s">
        <v>156</v>
      </c>
      <c r="BD3" s="9" t="s">
        <v>156</v>
      </c>
      <c r="BE3" s="9" t="s">
        <v>157</v>
      </c>
      <c r="BF3" s="9" t="s">
        <v>157</v>
      </c>
      <c r="BG3" s="9" t="s">
        <v>156</v>
      </c>
      <c r="BH3" s="9" t="s">
        <v>157</v>
      </c>
      <c r="BI3" s="9" t="s">
        <v>157</v>
      </c>
      <c r="BJ3" s="9" t="s">
        <v>155</v>
      </c>
      <c r="BK3" s="9" t="s">
        <v>157</v>
      </c>
      <c r="BL3" s="9" t="s">
        <v>157</v>
      </c>
      <c r="BM3" s="9" t="s">
        <v>157</v>
      </c>
      <c r="BN3" s="9" t="s">
        <v>157</v>
      </c>
      <c r="BO3" s="9" t="s">
        <v>157</v>
      </c>
      <c r="BP3" s="9" t="s">
        <v>157</v>
      </c>
      <c r="BQ3" s="9" t="s">
        <v>157</v>
      </c>
      <c r="BR3" s="9" t="s">
        <v>157</v>
      </c>
      <c r="BS3" s="9" t="s">
        <v>157</v>
      </c>
      <c r="BT3" s="9" t="s">
        <v>157</v>
      </c>
      <c r="BU3" s="9" t="s">
        <v>157</v>
      </c>
      <c r="BV3" s="9" t="s">
        <v>157</v>
      </c>
      <c r="BW3" s="9" t="s">
        <v>157</v>
      </c>
      <c r="BX3" s="9" t="s">
        <v>157</v>
      </c>
      <c r="BY3" s="9" t="s">
        <v>157</v>
      </c>
      <c r="BZ3" s="9" t="s">
        <v>157</v>
      </c>
      <c r="CA3" s="9" t="s">
        <v>157</v>
      </c>
      <c r="CB3" s="9" t="s">
        <v>157</v>
      </c>
      <c r="CC3" s="9" t="s">
        <v>157</v>
      </c>
      <c r="CD3" s="9" t="s">
        <v>157</v>
      </c>
      <c r="CE3" s="9" t="s">
        <v>157</v>
      </c>
      <c r="CF3" s="9" t="s">
        <v>157</v>
      </c>
      <c r="CG3" s="9" t="s">
        <v>157</v>
      </c>
      <c r="CH3" s="9" t="s">
        <v>157</v>
      </c>
      <c r="CI3" s="9" t="s">
        <v>157</v>
      </c>
      <c r="CJ3" s="9" t="s">
        <v>157</v>
      </c>
      <c r="CK3" s="9" t="s">
        <v>157</v>
      </c>
      <c r="CL3" s="9" t="s">
        <v>156</v>
      </c>
      <c r="CM3" s="9" t="s">
        <v>157</v>
      </c>
      <c r="CN3" s="9" t="s">
        <v>157</v>
      </c>
      <c r="CO3" s="9" t="s">
        <v>157</v>
      </c>
      <c r="CP3" s="9" t="s">
        <v>157</v>
      </c>
      <c r="CQ3" s="9" t="s">
        <v>157</v>
      </c>
      <c r="CR3" s="9" t="s">
        <v>157</v>
      </c>
      <c r="CS3" s="9" t="s">
        <v>157</v>
      </c>
      <c r="CT3" s="9" t="s">
        <v>155</v>
      </c>
      <c r="CU3" s="9" t="s">
        <v>156</v>
      </c>
      <c r="CV3" s="9" t="s">
        <v>157</v>
      </c>
      <c r="CW3" s="9" t="s">
        <v>157</v>
      </c>
      <c r="CX3" s="9" t="s">
        <v>157</v>
      </c>
      <c r="CY3" s="9" t="s">
        <v>157</v>
      </c>
      <c r="CZ3" s="7">
        <v>5</v>
      </c>
      <c r="DA3" s="7">
        <v>2</v>
      </c>
      <c r="DB3" s="7">
        <v>2</v>
      </c>
      <c r="DC3" s="7">
        <v>2</v>
      </c>
      <c r="DD3" s="7">
        <v>2</v>
      </c>
      <c r="DE3" s="7">
        <v>2</v>
      </c>
      <c r="DF3" s="7">
        <v>2</v>
      </c>
      <c r="DG3" s="7">
        <v>5</v>
      </c>
      <c r="DH3" s="7">
        <v>2</v>
      </c>
      <c r="DI3" s="7">
        <v>5</v>
      </c>
      <c r="DJ3" s="7">
        <v>5</v>
      </c>
      <c r="DK3" s="7">
        <v>5</v>
      </c>
      <c r="DL3" s="7">
        <v>5</v>
      </c>
      <c r="DM3" s="7">
        <v>5</v>
      </c>
      <c r="DN3" s="7">
        <v>5</v>
      </c>
      <c r="DO3" s="7">
        <v>5</v>
      </c>
      <c r="DP3" s="7">
        <v>4</v>
      </c>
      <c r="DQ3" s="7">
        <v>2</v>
      </c>
      <c r="DR3" s="7">
        <v>2</v>
      </c>
      <c r="DS3" s="7">
        <v>5</v>
      </c>
      <c r="DT3" s="7">
        <v>2</v>
      </c>
    </row>
    <row r="4" spans="1:124">
      <c r="A4" s="7" t="s">
        <v>159</v>
      </c>
      <c r="B4" s="7" t="s">
        <v>160</v>
      </c>
      <c r="C4" s="7" t="s">
        <v>160</v>
      </c>
      <c r="D4" s="7" t="s">
        <v>160</v>
      </c>
      <c r="E4" s="7" t="s">
        <v>160</v>
      </c>
      <c r="F4" s="7" t="s">
        <v>160</v>
      </c>
      <c r="G4" s="7" t="s">
        <v>160</v>
      </c>
      <c r="H4" s="7" t="s">
        <v>160</v>
      </c>
      <c r="I4" s="7" t="s">
        <v>160</v>
      </c>
      <c r="J4" s="7" t="s">
        <v>160</v>
      </c>
      <c r="K4" s="7" t="s">
        <v>160</v>
      </c>
      <c r="L4" s="7" t="s">
        <v>160</v>
      </c>
      <c r="M4" s="7" t="s">
        <v>160</v>
      </c>
      <c r="N4" s="7" t="s">
        <v>160</v>
      </c>
      <c r="O4" s="7" t="s">
        <v>160</v>
      </c>
      <c r="P4" s="7" t="s">
        <v>161</v>
      </c>
      <c r="Q4" s="7" t="s">
        <v>160</v>
      </c>
      <c r="R4" s="7" t="s">
        <v>160</v>
      </c>
      <c r="S4" s="7" t="s">
        <v>160</v>
      </c>
      <c r="T4" s="7" t="s">
        <v>160</v>
      </c>
      <c r="U4" s="7" t="s">
        <v>160</v>
      </c>
      <c r="V4" s="7" t="s">
        <v>160</v>
      </c>
      <c r="W4" s="7" t="s">
        <v>160</v>
      </c>
      <c r="X4" s="7" t="s">
        <v>160</v>
      </c>
      <c r="Y4" s="7" t="s">
        <v>160</v>
      </c>
      <c r="Z4" s="7" t="s">
        <v>160</v>
      </c>
      <c r="AA4" s="7" t="s">
        <v>160</v>
      </c>
      <c r="AB4" s="7" t="s">
        <v>160</v>
      </c>
      <c r="AC4" s="7" t="s">
        <v>160</v>
      </c>
      <c r="AD4" s="7" t="s">
        <v>160</v>
      </c>
      <c r="AE4" s="7" t="s">
        <v>160</v>
      </c>
      <c r="AF4" s="7" t="s">
        <v>160</v>
      </c>
      <c r="AG4" s="7" t="s">
        <v>160</v>
      </c>
      <c r="AH4" s="7" t="s">
        <v>160</v>
      </c>
      <c r="AI4" s="7" t="s">
        <v>160</v>
      </c>
      <c r="AJ4" s="7" t="s">
        <v>160</v>
      </c>
      <c r="AK4" s="7" t="s">
        <v>160</v>
      </c>
      <c r="AL4" s="7" t="s">
        <v>160</v>
      </c>
      <c r="AM4" s="7" t="s">
        <v>160</v>
      </c>
      <c r="AN4" s="7" t="s">
        <v>160</v>
      </c>
      <c r="AO4" s="7" t="s">
        <v>160</v>
      </c>
      <c r="AP4" s="7" t="s">
        <v>161</v>
      </c>
      <c r="AQ4" s="7" t="s">
        <v>160</v>
      </c>
      <c r="AR4" s="7" t="s">
        <v>160</v>
      </c>
      <c r="AS4" s="7" t="s">
        <v>160</v>
      </c>
      <c r="AT4" s="7" t="s">
        <v>160</v>
      </c>
      <c r="AU4" s="7" t="s">
        <v>160</v>
      </c>
      <c r="AV4" s="7" t="s">
        <v>160</v>
      </c>
      <c r="AW4" s="7" t="s">
        <v>162</v>
      </c>
      <c r="AX4" s="7" t="s">
        <v>161</v>
      </c>
      <c r="AY4" s="7" t="s">
        <v>161</v>
      </c>
      <c r="AZ4" s="7" t="s">
        <v>161</v>
      </c>
      <c r="BA4" s="7" t="s">
        <v>161</v>
      </c>
      <c r="BB4" s="7" t="s">
        <v>161</v>
      </c>
      <c r="BC4" s="7" t="s">
        <v>161</v>
      </c>
      <c r="BD4" s="7" t="s">
        <v>161</v>
      </c>
      <c r="BE4" s="7" t="s">
        <v>161</v>
      </c>
      <c r="BF4" s="7" t="s">
        <v>161</v>
      </c>
      <c r="BG4" s="7" t="s">
        <v>161</v>
      </c>
      <c r="BH4" s="7" t="s">
        <v>161</v>
      </c>
      <c r="BI4" s="7" t="s">
        <v>161</v>
      </c>
      <c r="BJ4" s="7" t="s">
        <v>161</v>
      </c>
      <c r="BK4" s="7" t="s">
        <v>161</v>
      </c>
      <c r="BL4" s="7" t="s">
        <v>161</v>
      </c>
      <c r="BM4" s="7" t="s">
        <v>161</v>
      </c>
      <c r="BN4" s="7" t="s">
        <v>161</v>
      </c>
      <c r="BO4" s="7" t="s">
        <v>161</v>
      </c>
      <c r="BP4" s="7" t="s">
        <v>161</v>
      </c>
      <c r="BQ4" s="7" t="s">
        <v>161</v>
      </c>
      <c r="BR4" s="7" t="s">
        <v>161</v>
      </c>
      <c r="BS4" s="7" t="s">
        <v>161</v>
      </c>
      <c r="BT4" s="7" t="s">
        <v>161</v>
      </c>
      <c r="BU4" s="7" t="s">
        <v>161</v>
      </c>
      <c r="BV4" s="7" t="s">
        <v>161</v>
      </c>
      <c r="BW4" s="7" t="s">
        <v>161</v>
      </c>
      <c r="BX4" s="7" t="s">
        <v>161</v>
      </c>
      <c r="BY4" s="7" t="s">
        <v>161</v>
      </c>
      <c r="BZ4" s="7" t="s">
        <v>161</v>
      </c>
      <c r="CA4" s="7" t="s">
        <v>161</v>
      </c>
      <c r="CB4" s="7" t="s">
        <v>161</v>
      </c>
      <c r="CC4" s="7" t="s">
        <v>161</v>
      </c>
      <c r="CD4" s="7" t="s">
        <v>161</v>
      </c>
      <c r="CE4" s="7" t="s">
        <v>161</v>
      </c>
      <c r="CF4" s="7" t="s">
        <v>161</v>
      </c>
      <c r="CG4" s="7" t="s">
        <v>161</v>
      </c>
      <c r="CH4" s="7" t="s">
        <v>161</v>
      </c>
      <c r="CI4" s="7" t="s">
        <v>161</v>
      </c>
      <c r="CJ4" s="7" t="s">
        <v>161</v>
      </c>
      <c r="CK4" s="7" t="s">
        <v>161</v>
      </c>
      <c r="CL4" s="7" t="s">
        <v>161</v>
      </c>
      <c r="CM4" s="7" t="s">
        <v>161</v>
      </c>
      <c r="CN4" s="7" t="s">
        <v>161</v>
      </c>
      <c r="CO4" s="7" t="s">
        <v>161</v>
      </c>
      <c r="CP4" s="7" t="s">
        <v>161</v>
      </c>
      <c r="CQ4" s="7" t="s">
        <v>161</v>
      </c>
      <c r="CR4" s="7" t="s">
        <v>161</v>
      </c>
      <c r="CS4" s="7" t="s">
        <v>161</v>
      </c>
      <c r="CT4" s="7" t="s">
        <v>161</v>
      </c>
      <c r="CU4" s="7" t="s">
        <v>161</v>
      </c>
      <c r="CV4" s="7" t="s">
        <v>161</v>
      </c>
      <c r="CW4" s="7" t="s">
        <v>161</v>
      </c>
      <c r="CX4" s="7" t="s">
        <v>161</v>
      </c>
      <c r="CY4" s="7" t="s">
        <v>161</v>
      </c>
      <c r="CZ4" s="7" t="s">
        <v>160</v>
      </c>
      <c r="DA4" s="7" t="s">
        <v>161</v>
      </c>
      <c r="DB4" s="7" t="s">
        <v>161</v>
      </c>
      <c r="DC4" s="7" t="s">
        <v>161</v>
      </c>
      <c r="DD4" s="7" t="s">
        <v>161</v>
      </c>
      <c r="DE4" s="7" t="s">
        <v>161</v>
      </c>
      <c r="DF4" s="7" t="s">
        <v>161</v>
      </c>
      <c r="DG4" s="7" t="s">
        <v>160</v>
      </c>
      <c r="DH4" s="7" t="s">
        <v>161</v>
      </c>
      <c r="DI4" s="7" t="s">
        <v>161</v>
      </c>
      <c r="DJ4" s="7" t="s">
        <v>161</v>
      </c>
      <c r="DK4" s="7" t="s">
        <v>161</v>
      </c>
      <c r="DL4" s="7" t="s">
        <v>161</v>
      </c>
      <c r="DM4" s="7" t="s">
        <v>161</v>
      </c>
      <c r="DN4" s="7" t="s">
        <v>161</v>
      </c>
      <c r="DO4" s="7" t="s">
        <v>160</v>
      </c>
      <c r="DP4" s="7"/>
      <c r="DQ4" s="7" t="s">
        <v>161</v>
      </c>
      <c r="DR4" s="7" t="s">
        <v>161</v>
      </c>
      <c r="DS4" s="7" t="s">
        <v>163</v>
      </c>
      <c r="DT4" s="7" t="s">
        <v>161</v>
      </c>
    </row>
    <row r="5" spans="1:124">
      <c r="A5" s="9" t="s">
        <v>164</v>
      </c>
      <c r="B5" s="13"/>
      <c r="C5" s="13"/>
      <c r="D5" s="13"/>
      <c r="E5" s="13"/>
      <c r="F5" s="13"/>
      <c r="G5" s="13"/>
      <c r="H5" s="1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</row>
    <row r="6" spans="1:124">
      <c r="A6" s="9" t="s">
        <v>165</v>
      </c>
      <c r="B6" s="13"/>
      <c r="C6" s="13"/>
      <c r="D6" s="13"/>
      <c r="E6" s="13"/>
      <c r="F6" s="13"/>
      <c r="G6" s="13"/>
      <c r="H6" s="1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</row>
    <row r="7" spans="1:124">
      <c r="A7" s="9" t="s">
        <v>166</v>
      </c>
      <c r="B7" s="13"/>
      <c r="C7" s="13"/>
      <c r="D7" s="13"/>
      <c r="E7" s="13"/>
      <c r="F7" s="13"/>
      <c r="G7" s="13"/>
      <c r="H7" s="1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</row>
    <row r="8" spans="1:124">
      <c r="A8" s="9" t="s">
        <v>167</v>
      </c>
      <c r="B8" s="13"/>
      <c r="C8" s="13"/>
      <c r="D8" s="13"/>
      <c r="E8" s="13"/>
      <c r="F8" s="13"/>
      <c r="G8" s="13"/>
      <c r="H8" s="14"/>
      <c r="I8" s="13"/>
      <c r="J8" s="13"/>
      <c r="K8" s="26">
        <v>4</v>
      </c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</row>
    <row r="9" spans="1:124">
      <c r="A9" s="9" t="s">
        <v>169</v>
      </c>
      <c r="B9" s="13"/>
      <c r="C9" s="13"/>
      <c r="D9" s="13"/>
      <c r="E9" s="13"/>
      <c r="F9" s="13"/>
      <c r="G9" s="13"/>
      <c r="H9" s="14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</row>
    <row r="10" spans="1:124">
      <c r="A10" s="9" t="s">
        <v>170</v>
      </c>
      <c r="B10" s="13"/>
      <c r="C10" s="13"/>
      <c r="D10" s="13"/>
      <c r="E10" s="13"/>
      <c r="F10" s="13"/>
      <c r="G10" s="13"/>
      <c r="H10" s="14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</row>
    <row r="11" spans="1:124">
      <c r="A11" s="9" t="s">
        <v>171</v>
      </c>
      <c r="B11" s="13"/>
      <c r="C11" s="13"/>
      <c r="D11" s="13"/>
      <c r="E11" s="13"/>
      <c r="F11" s="13"/>
      <c r="G11" s="13"/>
      <c r="H11" s="14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</row>
    <row r="12" spans="1:124">
      <c r="A12" s="9" t="s">
        <v>172</v>
      </c>
      <c r="B12" s="13"/>
      <c r="C12" s="13"/>
      <c r="D12" s="13"/>
      <c r="E12" s="13"/>
      <c r="F12" s="13"/>
      <c r="G12" s="13"/>
      <c r="H12" s="14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</row>
    <row r="13" spans="1:124">
      <c r="A13" s="9" t="s">
        <v>173</v>
      </c>
      <c r="B13" s="13"/>
      <c r="C13" s="13"/>
      <c r="D13" s="13"/>
      <c r="E13" s="13"/>
      <c r="F13" s="13"/>
      <c r="G13" s="13"/>
      <c r="H13" s="14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</row>
    <row r="14" spans="1:124">
      <c r="A14" s="9" t="s">
        <v>176</v>
      </c>
      <c r="B14" s="13"/>
      <c r="C14" s="13"/>
      <c r="D14" s="13"/>
      <c r="E14" s="13"/>
      <c r="F14" s="13"/>
      <c r="G14" s="13"/>
      <c r="H14" s="14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</row>
    <row r="15" spans="1:124">
      <c r="A15" s="9" t="s">
        <v>177</v>
      </c>
      <c r="B15" s="13"/>
      <c r="C15" s="13"/>
      <c r="D15" s="13"/>
      <c r="E15" s="13"/>
      <c r="F15" s="13"/>
      <c r="G15" s="13"/>
      <c r="H15" s="14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</row>
    <row r="16" spans="1:124">
      <c r="A16" s="9" t="s">
        <v>178</v>
      </c>
      <c r="B16" s="13"/>
      <c r="C16" s="13"/>
      <c r="D16" s="13"/>
      <c r="E16" s="13"/>
      <c r="F16" s="13"/>
      <c r="G16" s="13"/>
      <c r="H16" s="14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</row>
    <row r="17" spans="1:124">
      <c r="A17" s="9" t="s">
        <v>179</v>
      </c>
      <c r="B17" s="13"/>
      <c r="C17" s="13"/>
      <c r="D17" s="13"/>
      <c r="E17" s="13"/>
      <c r="F17" s="13"/>
      <c r="G17" s="13"/>
      <c r="H17" s="14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</row>
    <row r="18" spans="1:124">
      <c r="A18" s="9" t="s">
        <v>180</v>
      </c>
      <c r="B18" s="13"/>
      <c r="C18" s="13"/>
      <c r="D18" s="13"/>
      <c r="E18" s="13"/>
      <c r="F18" s="13"/>
      <c r="G18" s="13"/>
      <c r="H18" s="14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</row>
    <row r="19" spans="1:124">
      <c r="A19" s="9" t="s">
        <v>181</v>
      </c>
      <c r="B19" s="13"/>
      <c r="C19" s="13"/>
      <c r="D19" s="13"/>
      <c r="E19" s="13"/>
      <c r="F19" s="13"/>
      <c r="G19" s="13"/>
      <c r="H19" s="14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</row>
    <row r="20" spans="1:124">
      <c r="A20" s="9" t="s">
        <v>182</v>
      </c>
      <c r="B20" s="13"/>
      <c r="C20" s="13"/>
      <c r="D20" s="13"/>
      <c r="E20" s="13"/>
      <c r="F20" s="13"/>
      <c r="G20" s="13"/>
      <c r="H20" s="14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</row>
    <row r="21" spans="1:124">
      <c r="A21" s="9" t="s">
        <v>183</v>
      </c>
      <c r="B21" s="13"/>
      <c r="C21" s="13"/>
      <c r="D21" s="13"/>
      <c r="E21" s="13"/>
      <c r="F21" s="13"/>
      <c r="G21" s="13"/>
      <c r="H21" s="14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</row>
    <row r="22" spans="1:124">
      <c r="A22" s="9" t="s">
        <v>184</v>
      </c>
      <c r="B22" s="13"/>
      <c r="C22" s="13"/>
      <c r="D22" s="13"/>
      <c r="E22" s="13"/>
      <c r="F22" s="13"/>
      <c r="G22" s="13"/>
      <c r="H22" s="14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</row>
    <row r="23" spans="1:124" ht="15.75" customHeight="1">
      <c r="A23" s="9" t="s">
        <v>185</v>
      </c>
      <c r="B23" s="13"/>
      <c r="C23" s="13"/>
      <c r="D23" s="13"/>
      <c r="E23" s="13"/>
      <c r="F23" s="13"/>
      <c r="G23" s="13"/>
      <c r="H23" s="14"/>
      <c r="I23" s="13"/>
      <c r="J23" s="13"/>
      <c r="K23" s="13"/>
      <c r="L23" s="13"/>
      <c r="M23" s="13"/>
      <c r="N23" s="12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2">
        <v>0.02</v>
      </c>
      <c r="BL23" s="13"/>
      <c r="BM23" s="13"/>
      <c r="BN23" s="13"/>
      <c r="BO23" s="13"/>
      <c r="BP23" s="13"/>
      <c r="BQ23" s="13"/>
      <c r="BR23" s="13"/>
      <c r="BS23" s="13">
        <v>0.02</v>
      </c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</row>
    <row r="24" spans="1:124" ht="15.75" customHeight="1">
      <c r="A24" s="9" t="s">
        <v>186</v>
      </c>
      <c r="B24" s="13"/>
      <c r="C24" s="13"/>
      <c r="D24" s="13"/>
      <c r="E24" s="13"/>
      <c r="F24" s="13"/>
      <c r="G24" s="13"/>
      <c r="H24" s="14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</row>
    <row r="25" spans="1:124" ht="15.75" customHeight="1">
      <c r="A25" s="9" t="s">
        <v>187</v>
      </c>
      <c r="B25" s="13"/>
      <c r="C25" s="13"/>
      <c r="D25" s="13"/>
      <c r="E25" s="13"/>
      <c r="F25" s="13"/>
      <c r="G25" s="13"/>
      <c r="H25" s="14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</row>
    <row r="26" spans="1:124" ht="15.75" customHeight="1">
      <c r="A26" s="9" t="s">
        <v>151</v>
      </c>
      <c r="B26" s="13"/>
      <c r="C26" s="13"/>
      <c r="D26" s="13"/>
      <c r="E26" s="13"/>
      <c r="F26" s="13"/>
      <c r="G26" s="13"/>
      <c r="H26" s="14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</row>
    <row r="27" spans="1:124" ht="15.75" customHeight="1">
      <c r="A27" s="9" t="s">
        <v>188</v>
      </c>
      <c r="B27" s="13"/>
      <c r="C27" s="13"/>
      <c r="D27" s="13"/>
      <c r="E27" s="13"/>
      <c r="F27" s="13"/>
      <c r="G27" s="13"/>
      <c r="H27" s="14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</row>
    <row r="28" spans="1:124" ht="15.75" customHeight="1">
      <c r="A28" s="9" t="s">
        <v>190</v>
      </c>
      <c r="B28" s="13"/>
      <c r="C28" s="13"/>
      <c r="D28" s="13"/>
      <c r="E28" s="13"/>
      <c r="F28" s="13"/>
      <c r="G28" s="13"/>
      <c r="H28" s="14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</row>
    <row r="29" spans="1:124" ht="15.75" customHeight="1">
      <c r="A29" s="9" t="s">
        <v>191</v>
      </c>
      <c r="B29" s="13"/>
      <c r="C29" s="13"/>
      <c r="D29" s="13"/>
      <c r="E29" s="13"/>
      <c r="F29" s="13"/>
      <c r="G29" s="13"/>
      <c r="H29" s="14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</row>
    <row r="30" spans="1:124" ht="15.75" customHeight="1">
      <c r="A30" s="9" t="s">
        <v>192</v>
      </c>
      <c r="B30" s="13"/>
      <c r="C30" s="13"/>
      <c r="D30" s="13"/>
      <c r="E30" s="13"/>
      <c r="F30" s="13"/>
      <c r="G30" s="13"/>
      <c r="H30" s="14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</row>
    <row r="31" spans="1:124" ht="15.75" customHeight="1">
      <c r="A31" s="9" t="s">
        <v>193</v>
      </c>
      <c r="B31" s="13"/>
      <c r="C31" s="13"/>
      <c r="D31" s="13"/>
      <c r="E31" s="13"/>
      <c r="F31" s="13"/>
      <c r="G31" s="13"/>
      <c r="H31" s="14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</row>
    <row r="32" spans="1:124" ht="15.75" customHeight="1">
      <c r="A32" s="9" t="s">
        <v>194</v>
      </c>
      <c r="B32" s="13"/>
      <c r="C32" s="13"/>
      <c r="D32" s="13"/>
      <c r="E32" s="13"/>
      <c r="F32" s="13"/>
      <c r="G32" s="13"/>
      <c r="H32" s="14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</row>
    <row r="33" spans="1:124" ht="15.75" customHeight="1">
      <c r="A33" s="9" t="s">
        <v>196</v>
      </c>
      <c r="B33" s="13"/>
      <c r="C33" s="13"/>
      <c r="D33" s="13"/>
      <c r="E33" s="13"/>
      <c r="F33" s="13"/>
      <c r="G33" s="13"/>
      <c r="H33" s="14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</row>
    <row r="34" spans="1:124" ht="15.75" customHeight="1">
      <c r="A34" s="9" t="s">
        <v>197</v>
      </c>
      <c r="B34" s="13"/>
      <c r="C34" s="13"/>
      <c r="D34" s="13"/>
      <c r="E34" s="13"/>
      <c r="F34" s="13"/>
      <c r="G34" s="13"/>
      <c r="H34" s="14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</row>
    <row r="35" spans="1:124" ht="15.75" customHeight="1">
      <c r="A35" s="9" t="s">
        <v>198</v>
      </c>
      <c r="B35" s="13"/>
      <c r="C35" s="13"/>
      <c r="D35" s="13"/>
      <c r="E35" s="13"/>
      <c r="F35" s="13"/>
      <c r="G35" s="13"/>
      <c r="H35" s="14"/>
      <c r="I35" s="13"/>
      <c r="J35" s="13"/>
      <c r="K35" s="13"/>
      <c r="L35" s="13"/>
      <c r="M35" s="13"/>
      <c r="N35" s="12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</row>
    <row r="36" spans="1:124" ht="15.75" customHeight="1">
      <c r="A36" s="9" t="s">
        <v>199</v>
      </c>
      <c r="B36" s="13"/>
      <c r="C36" s="13"/>
      <c r="D36" s="13"/>
      <c r="E36" s="13"/>
      <c r="F36" s="13"/>
      <c r="G36" s="13"/>
      <c r="H36" s="14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</row>
    <row r="37" spans="1:124" ht="15.75" customHeight="1">
      <c r="A37" s="9" t="s">
        <v>200</v>
      </c>
      <c r="B37" s="13"/>
      <c r="C37" s="13"/>
      <c r="D37" s="13"/>
      <c r="E37" s="13"/>
      <c r="F37" s="13"/>
      <c r="G37" s="13"/>
      <c r="H37" s="14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</row>
    <row r="38" spans="1:124" ht="15.75" customHeight="1">
      <c r="A38" s="9" t="s">
        <v>202</v>
      </c>
      <c r="B38" s="13"/>
      <c r="C38" s="13"/>
      <c r="D38" s="13"/>
      <c r="E38" s="13"/>
      <c r="F38" s="13"/>
      <c r="G38" s="13"/>
      <c r="H38" s="14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</row>
    <row r="39" spans="1:124" ht="15.75" customHeight="1">
      <c r="A39" s="9" t="s">
        <v>203</v>
      </c>
      <c r="B39" s="13"/>
      <c r="C39" s="13"/>
      <c r="D39" s="13"/>
      <c r="E39" s="13"/>
      <c r="F39" s="13"/>
      <c r="G39" s="13"/>
      <c r="H39" s="14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</row>
    <row r="40" spans="1:124" ht="15.75" customHeight="1">
      <c r="A40" s="9" t="s">
        <v>204</v>
      </c>
      <c r="B40" s="13"/>
      <c r="C40" s="13"/>
      <c r="D40" s="13"/>
      <c r="E40" s="13"/>
      <c r="F40" s="13"/>
      <c r="G40" s="13"/>
      <c r="H40" s="14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</row>
    <row r="41" spans="1:124" ht="15.75" customHeight="1">
      <c r="A41" s="9" t="s">
        <v>205</v>
      </c>
      <c r="B41" s="13"/>
      <c r="C41" s="13"/>
      <c r="D41" s="13"/>
      <c r="E41" s="13"/>
      <c r="F41" s="13"/>
      <c r="G41" s="13"/>
      <c r="H41" s="14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</row>
    <row r="42" spans="1:124" ht="15.75" customHeight="1">
      <c r="A42" s="9" t="s">
        <v>206</v>
      </c>
      <c r="B42" s="13"/>
      <c r="C42" s="13"/>
      <c r="D42" s="13"/>
      <c r="E42" s="13"/>
      <c r="F42" s="13"/>
      <c r="G42" s="13"/>
      <c r="H42" s="14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</row>
    <row r="43" spans="1:124" ht="15.75" customHeight="1">
      <c r="A43" s="9" t="s">
        <v>207</v>
      </c>
      <c r="B43" s="13"/>
      <c r="C43" s="13"/>
      <c r="D43" s="13"/>
      <c r="E43" s="13"/>
      <c r="F43" s="13"/>
      <c r="G43" s="13"/>
      <c r="H43" s="14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</row>
    <row r="44" spans="1:124" ht="15.75" customHeight="1">
      <c r="A44" s="9" t="s">
        <v>208</v>
      </c>
      <c r="B44" s="13"/>
      <c r="C44" s="13"/>
      <c r="D44" s="13"/>
      <c r="E44" s="13"/>
      <c r="F44" s="13"/>
      <c r="G44" s="13"/>
      <c r="H44" s="14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27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</row>
    <row r="45" spans="1:124" ht="15.75" customHeight="1">
      <c r="A45" s="9" t="s">
        <v>209</v>
      </c>
      <c r="B45" s="13"/>
      <c r="C45" s="13"/>
      <c r="D45" s="13"/>
      <c r="E45" s="13"/>
      <c r="F45" s="13"/>
      <c r="G45" s="13"/>
      <c r="H45" s="14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</row>
    <row r="46" spans="1:124" ht="15.75" customHeight="1">
      <c r="A46" s="9" t="s">
        <v>210</v>
      </c>
      <c r="B46" s="13"/>
      <c r="C46" s="13"/>
      <c r="D46" s="13"/>
      <c r="E46" s="13"/>
      <c r="F46" s="13"/>
      <c r="G46" s="13"/>
      <c r="H46" s="14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</row>
    <row r="47" spans="1:124" ht="15.75" customHeight="1">
      <c r="A47" s="9" t="s">
        <v>211</v>
      </c>
      <c r="B47" s="13"/>
      <c r="C47" s="13"/>
      <c r="D47" s="13"/>
      <c r="E47" s="13"/>
      <c r="F47" s="13"/>
      <c r="G47" s="13"/>
      <c r="H47" s="14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</row>
    <row r="48" spans="1:124" ht="15.75" customHeight="1">
      <c r="A48" s="9" t="s">
        <v>212</v>
      </c>
      <c r="B48" s="13"/>
      <c r="C48" s="13"/>
      <c r="D48" s="13"/>
      <c r="E48" s="13"/>
      <c r="F48" s="13"/>
      <c r="G48" s="13"/>
      <c r="H48" s="14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</row>
    <row r="49" spans="1:124" ht="15.75" customHeight="1">
      <c r="A49" s="9" t="s">
        <v>213</v>
      </c>
      <c r="B49" s="13"/>
      <c r="C49" s="13"/>
      <c r="D49" s="13"/>
      <c r="E49" s="13"/>
      <c r="F49" s="13"/>
      <c r="G49" s="13"/>
      <c r="H49" s="14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</row>
    <row r="50" spans="1:124" ht="15.75" customHeight="1">
      <c r="A50" s="9" t="s">
        <v>214</v>
      </c>
      <c r="B50" s="13"/>
      <c r="C50" s="13"/>
      <c r="D50" s="13"/>
      <c r="E50" s="13"/>
      <c r="F50" s="13"/>
      <c r="G50" s="13"/>
      <c r="H50" s="14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>
        <v>0</v>
      </c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</row>
    <row r="51" spans="1:124" ht="15.75" customHeight="1">
      <c r="A51" s="9" t="s">
        <v>215</v>
      </c>
      <c r="B51" s="13"/>
      <c r="C51" s="13"/>
      <c r="D51" s="13"/>
      <c r="E51" s="13"/>
      <c r="F51" s="13"/>
      <c r="G51" s="13"/>
      <c r="H51" s="14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</row>
    <row r="52" spans="1:124" ht="15.75" customHeight="1">
      <c r="A52" s="9" t="s">
        <v>216</v>
      </c>
      <c r="B52" s="13"/>
      <c r="C52" s="13"/>
      <c r="D52" s="13"/>
      <c r="E52" s="13"/>
      <c r="F52" s="13"/>
      <c r="G52" s="13"/>
      <c r="H52" s="14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</row>
    <row r="53" spans="1:124" ht="15.75" customHeight="1">
      <c r="A53" s="9" t="s">
        <v>217</v>
      </c>
      <c r="B53" s="13"/>
      <c r="C53" s="13"/>
      <c r="D53" s="13"/>
      <c r="E53" s="13"/>
      <c r="F53" s="13"/>
      <c r="G53" s="13"/>
      <c r="H53" s="14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</row>
    <row r="54" spans="1:124" ht="15.75" customHeight="1">
      <c r="A54" s="9" t="s">
        <v>218</v>
      </c>
      <c r="B54" s="13"/>
      <c r="C54" s="13"/>
      <c r="D54" s="13"/>
      <c r="E54" s="13"/>
      <c r="F54" s="13"/>
      <c r="G54" s="13"/>
      <c r="H54" s="14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</row>
    <row r="55" spans="1:124" ht="15.75" customHeight="1">
      <c r="A55" s="9" t="s">
        <v>219</v>
      </c>
      <c r="B55" s="13"/>
      <c r="C55" s="13"/>
      <c r="D55" s="13"/>
      <c r="E55" s="13"/>
      <c r="F55" s="13"/>
      <c r="G55" s="13"/>
      <c r="H55" s="14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</row>
    <row r="56" spans="1:124" ht="15.75" customHeight="1">
      <c r="A56" s="9" t="s">
        <v>220</v>
      </c>
      <c r="B56" s="13"/>
      <c r="C56" s="13"/>
      <c r="D56" s="13"/>
      <c r="E56" s="13"/>
      <c r="F56" s="13"/>
      <c r="G56" s="13"/>
      <c r="H56" s="14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</row>
    <row r="57" spans="1:124" ht="15.75" customHeight="1">
      <c r="A57" s="9" t="s">
        <v>221</v>
      </c>
      <c r="B57" s="13"/>
      <c r="C57" s="13"/>
      <c r="D57" s="13"/>
      <c r="E57" s="13"/>
      <c r="F57" s="13"/>
      <c r="G57" s="13"/>
      <c r="H57" s="14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</row>
    <row r="58" spans="1:124" ht="15.75" customHeight="1">
      <c r="A58" s="9" t="s">
        <v>223</v>
      </c>
      <c r="B58" s="13"/>
      <c r="C58" s="13"/>
      <c r="D58" s="13"/>
      <c r="E58" s="13"/>
      <c r="F58" s="13"/>
      <c r="G58" s="13"/>
      <c r="H58" s="14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</row>
    <row r="59" spans="1:124" ht="15.75" customHeight="1">
      <c r="A59" s="9" t="s">
        <v>224</v>
      </c>
      <c r="B59" s="13"/>
      <c r="C59" s="13"/>
      <c r="D59" s="13"/>
      <c r="E59" s="13"/>
      <c r="F59" s="13"/>
      <c r="G59" s="13"/>
      <c r="H59" s="14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</row>
    <row r="60" spans="1:124" ht="15.75" customHeight="1">
      <c r="A60" s="9" t="s">
        <v>226</v>
      </c>
      <c r="B60" s="13"/>
      <c r="C60" s="13"/>
      <c r="D60" s="13"/>
      <c r="E60" s="13"/>
      <c r="F60" s="13"/>
      <c r="G60" s="13"/>
      <c r="H60" s="14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</row>
    <row r="61" spans="1:124" ht="15.75" customHeight="1">
      <c r="A61" s="9" t="s">
        <v>228</v>
      </c>
      <c r="B61" s="13"/>
      <c r="C61" s="13"/>
      <c r="D61" s="13"/>
      <c r="E61" s="13"/>
      <c r="F61" s="13"/>
      <c r="G61" s="13"/>
      <c r="H61" s="14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</row>
    <row r="62" spans="1:124" ht="15.75" customHeight="1">
      <c r="A62" s="9" t="s">
        <v>229</v>
      </c>
      <c r="B62" s="13"/>
      <c r="C62" s="13"/>
      <c r="D62" s="13"/>
      <c r="E62" s="13"/>
      <c r="F62" s="13"/>
      <c r="G62" s="13"/>
      <c r="H62" s="14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</row>
    <row r="63" spans="1:124" ht="15.75" customHeight="1">
      <c r="A63" s="9" t="s">
        <v>233</v>
      </c>
      <c r="B63" s="13"/>
      <c r="C63" s="13"/>
      <c r="D63" s="13"/>
      <c r="E63" s="13"/>
      <c r="F63" s="13"/>
      <c r="G63" s="13"/>
      <c r="H63" s="14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</row>
    <row r="64" spans="1:124" ht="15.75" customHeight="1">
      <c r="A64" s="9" t="s">
        <v>234</v>
      </c>
      <c r="B64" s="13"/>
      <c r="C64" s="13"/>
      <c r="D64" s="13"/>
      <c r="E64" s="13"/>
      <c r="F64" s="13"/>
      <c r="G64" s="13"/>
      <c r="H64" s="14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</row>
    <row r="65" spans="1:124" ht="15.75" customHeight="1">
      <c r="A65" s="9" t="s">
        <v>235</v>
      </c>
      <c r="B65" s="13"/>
      <c r="C65" s="13"/>
      <c r="D65" s="13"/>
      <c r="E65" s="13"/>
      <c r="F65" s="13"/>
      <c r="G65" s="13"/>
      <c r="H65" s="14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</row>
    <row r="66" spans="1:124" ht="15.75" customHeight="1">
      <c r="A66" s="9" t="s">
        <v>236</v>
      </c>
      <c r="B66" s="13"/>
      <c r="C66" s="13"/>
      <c r="D66" s="13"/>
      <c r="E66" s="13"/>
      <c r="F66" s="13"/>
      <c r="G66" s="13"/>
      <c r="H66" s="14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</row>
    <row r="67" spans="1:124" ht="15.75" customHeight="1">
      <c r="A67" s="9" t="s">
        <v>237</v>
      </c>
      <c r="B67" s="13"/>
      <c r="C67" s="13"/>
      <c r="D67" s="13"/>
      <c r="E67" s="13"/>
      <c r="F67" s="13"/>
      <c r="G67" s="13"/>
      <c r="H67" s="14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</row>
    <row r="68" spans="1:124" ht="15.75" customHeight="1">
      <c r="A68" s="9" t="s">
        <v>238</v>
      </c>
      <c r="B68" s="13"/>
      <c r="C68" s="13"/>
      <c r="D68" s="13"/>
      <c r="E68" s="13"/>
      <c r="F68" s="13"/>
      <c r="G68" s="13"/>
      <c r="H68" s="14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</row>
    <row r="69" spans="1:124" ht="15.75" customHeight="1">
      <c r="A69" s="9" t="s">
        <v>239</v>
      </c>
      <c r="B69" s="13"/>
      <c r="C69" s="13"/>
      <c r="D69" s="13"/>
      <c r="E69" s="13"/>
      <c r="F69" s="13"/>
      <c r="G69" s="13"/>
      <c r="H69" s="14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</row>
    <row r="70" spans="1:124" ht="15.75" customHeight="1">
      <c r="A70" s="9" t="s">
        <v>240</v>
      </c>
      <c r="B70" s="13"/>
      <c r="C70" s="13"/>
      <c r="D70" s="13"/>
      <c r="E70" s="13"/>
      <c r="F70" s="13"/>
      <c r="G70" s="13"/>
      <c r="H70" s="14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</row>
    <row r="71" spans="1:124" ht="15.75" customHeight="1">
      <c r="A71" s="9" t="s">
        <v>242</v>
      </c>
      <c r="B71" s="13"/>
      <c r="C71" s="13"/>
      <c r="D71" s="13"/>
      <c r="E71" s="13"/>
      <c r="F71" s="13"/>
      <c r="G71" s="13"/>
      <c r="H71" s="14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</row>
    <row r="72" spans="1:124" ht="15.75" customHeight="1">
      <c r="A72" s="9" t="s">
        <v>243</v>
      </c>
      <c r="B72" s="13"/>
      <c r="C72" s="13"/>
      <c r="D72" s="13"/>
      <c r="E72" s="13"/>
      <c r="F72" s="13"/>
      <c r="G72" s="13"/>
      <c r="H72" s="14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</row>
    <row r="73" spans="1:124" ht="15.75" customHeight="1">
      <c r="A73" s="9" t="s">
        <v>244</v>
      </c>
      <c r="B73" s="13"/>
      <c r="C73" s="13"/>
      <c r="D73" s="13"/>
      <c r="E73" s="13"/>
      <c r="F73" s="13"/>
      <c r="G73" s="13"/>
      <c r="H73" s="14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</row>
    <row r="74" spans="1:124" ht="15.75" customHeight="1">
      <c r="A74" s="9" t="s">
        <v>245</v>
      </c>
      <c r="B74" s="13"/>
      <c r="C74" s="13"/>
      <c r="D74" s="13"/>
      <c r="E74" s="13"/>
      <c r="F74" s="13"/>
      <c r="G74" s="13"/>
      <c r="H74" s="14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</row>
    <row r="75" spans="1:124" ht="15.75" customHeight="1">
      <c r="A75" s="9" t="s">
        <v>246</v>
      </c>
      <c r="B75" s="13"/>
      <c r="C75" s="13"/>
      <c r="D75" s="13"/>
      <c r="E75" s="13"/>
      <c r="F75" s="13"/>
      <c r="G75" s="13"/>
      <c r="H75" s="14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</row>
    <row r="76" spans="1:124" ht="15.75" customHeight="1">
      <c r="A76" s="9" t="s">
        <v>247</v>
      </c>
      <c r="B76" s="13"/>
      <c r="C76" s="13"/>
      <c r="D76" s="13"/>
      <c r="E76" s="13"/>
      <c r="F76" s="13"/>
      <c r="G76" s="13"/>
      <c r="H76" s="14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</row>
    <row r="77" spans="1:124" ht="15.75" customHeight="1">
      <c r="A77" s="9" t="s">
        <v>248</v>
      </c>
      <c r="B77" s="13"/>
      <c r="C77" s="13"/>
      <c r="D77" s="13"/>
      <c r="E77" s="13"/>
      <c r="F77" s="13"/>
      <c r="G77" s="13"/>
      <c r="H77" s="14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</row>
    <row r="78" spans="1:124" ht="15.75" customHeight="1">
      <c r="A78" s="9" t="s">
        <v>249</v>
      </c>
      <c r="B78" s="13"/>
      <c r="C78" s="13"/>
      <c r="D78" s="13"/>
      <c r="E78" s="13"/>
      <c r="F78" s="13"/>
      <c r="G78" s="13"/>
      <c r="H78" s="14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</row>
    <row r="79" spans="1:124" ht="15.75" customHeight="1">
      <c r="A79" s="9" t="s">
        <v>250</v>
      </c>
      <c r="B79" s="13"/>
      <c r="C79" s="13"/>
      <c r="D79" s="13"/>
      <c r="E79" s="13"/>
      <c r="F79" s="13"/>
      <c r="G79" s="13"/>
      <c r="H79" s="14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</row>
    <row r="80" spans="1:124" ht="15.75" customHeight="1">
      <c r="A80" s="9" t="s">
        <v>251</v>
      </c>
      <c r="B80" s="13"/>
      <c r="C80" s="13"/>
      <c r="D80" s="13"/>
      <c r="E80" s="13"/>
      <c r="F80" s="13"/>
      <c r="G80" s="13"/>
      <c r="H80" s="14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</row>
    <row r="81" spans="1:124" ht="15.75" customHeight="1">
      <c r="A81" s="9" t="s">
        <v>252</v>
      </c>
      <c r="B81" s="13"/>
      <c r="C81" s="13"/>
      <c r="D81" s="13"/>
      <c r="E81" s="13"/>
      <c r="F81" s="13"/>
      <c r="G81" s="13"/>
      <c r="H81" s="14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</row>
    <row r="82" spans="1:124" ht="15.75" customHeight="1">
      <c r="A82" s="9" t="s">
        <v>253</v>
      </c>
      <c r="B82" s="13"/>
      <c r="C82" s="13"/>
      <c r="D82" s="13"/>
      <c r="E82" s="13"/>
      <c r="F82" s="13"/>
      <c r="G82" s="13"/>
      <c r="H82" s="14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</row>
    <row r="83" spans="1:124" ht="15.75" customHeight="1">
      <c r="A83" s="9" t="s">
        <v>254</v>
      </c>
      <c r="B83" s="13"/>
      <c r="C83" s="13"/>
      <c r="D83" s="13"/>
      <c r="E83" s="13"/>
      <c r="F83" s="13"/>
      <c r="G83" s="13"/>
      <c r="H83" s="14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</row>
    <row r="84" spans="1:124" ht="15.75" customHeight="1">
      <c r="A84" s="9" t="s">
        <v>255</v>
      </c>
      <c r="B84" s="13"/>
      <c r="C84" s="13"/>
      <c r="D84" s="13"/>
      <c r="E84" s="13"/>
      <c r="F84" s="13"/>
      <c r="G84" s="13"/>
      <c r="H84" s="14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</row>
    <row r="85" spans="1:124" ht="15.75" customHeight="1">
      <c r="A85" s="9" t="s">
        <v>256</v>
      </c>
      <c r="B85" s="13"/>
      <c r="C85" s="13"/>
      <c r="D85" s="13"/>
      <c r="E85" s="13"/>
      <c r="F85" s="13"/>
      <c r="G85" s="13"/>
      <c r="H85" s="14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</row>
    <row r="86" spans="1:124" ht="15.75" customHeight="1">
      <c r="AB86" s="13"/>
      <c r="AP86" s="13"/>
      <c r="AR86" s="13"/>
      <c r="AW86" s="13"/>
      <c r="BE86" s="13"/>
      <c r="BG86" s="13"/>
      <c r="BH86" s="13"/>
      <c r="BI86" s="13"/>
      <c r="BK86" s="13"/>
      <c r="BL86" s="13"/>
      <c r="BM86" s="13"/>
      <c r="BN86" s="13"/>
      <c r="BO86" s="13"/>
      <c r="BP86" s="13"/>
      <c r="BQ86" s="13"/>
      <c r="BS86" s="13"/>
      <c r="BT86" s="13"/>
      <c r="BU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M86" s="13"/>
      <c r="CN86" s="13"/>
      <c r="CO86" s="13"/>
      <c r="CV86" s="13"/>
      <c r="CW86" s="13"/>
      <c r="CX86" s="13"/>
    </row>
    <row r="87" spans="1:124" ht="15.75" customHeight="1">
      <c r="AB87" s="13"/>
      <c r="AP87" s="13"/>
      <c r="AR87" s="13"/>
      <c r="AW87" s="13"/>
      <c r="BE87" s="13"/>
      <c r="BG87" s="13"/>
      <c r="BH87" s="13"/>
      <c r="BI87" s="13"/>
      <c r="BK87" s="13"/>
      <c r="BL87" s="13"/>
      <c r="BM87" s="13"/>
      <c r="BN87" s="13"/>
      <c r="BO87" s="13"/>
      <c r="BP87" s="13"/>
      <c r="BQ87" s="13"/>
      <c r="BS87" s="13"/>
      <c r="BT87" s="13"/>
      <c r="BU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M87" s="13"/>
      <c r="CN87" s="13"/>
      <c r="CO87" s="13"/>
      <c r="CV87" s="13"/>
      <c r="CW87" s="13"/>
      <c r="CX87" s="13"/>
    </row>
    <row r="88" spans="1:124" ht="15.75" customHeight="1">
      <c r="AP88" s="13"/>
      <c r="AR88" s="13"/>
      <c r="AW88" s="13"/>
      <c r="BE88" s="13"/>
      <c r="BG88" s="13"/>
      <c r="BH88" s="13"/>
      <c r="BI88" s="13"/>
      <c r="BK88" s="13"/>
      <c r="BL88" s="13"/>
      <c r="BM88" s="13"/>
      <c r="BN88" s="13"/>
      <c r="BO88" s="13"/>
      <c r="BP88" s="13"/>
      <c r="BQ88" s="13"/>
      <c r="BS88" s="13"/>
      <c r="BT88" s="13"/>
      <c r="BU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M88" s="13"/>
      <c r="CN88" s="13"/>
      <c r="CO88" s="13"/>
      <c r="CV88" s="13"/>
      <c r="CW88" s="13"/>
      <c r="CX88" s="13"/>
    </row>
    <row r="89" spans="1:124" ht="15.75" customHeight="1">
      <c r="AP89" s="13"/>
      <c r="AR89" s="13"/>
      <c r="AW89" s="13"/>
      <c r="BE89" s="13"/>
      <c r="BG89" s="13"/>
      <c r="BH89" s="13"/>
      <c r="BI89" s="13"/>
      <c r="BK89" s="13"/>
      <c r="BL89" s="13"/>
      <c r="BM89" s="13"/>
      <c r="BN89" s="13"/>
      <c r="BO89" s="13"/>
      <c r="BP89" s="13"/>
      <c r="BQ89" s="13"/>
      <c r="BS89" s="13"/>
      <c r="BT89" s="13"/>
      <c r="BU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M89" s="13"/>
      <c r="CN89" s="13"/>
      <c r="CO89" s="13"/>
      <c r="CV89" s="13"/>
      <c r="CW89" s="13"/>
      <c r="CX89" s="13"/>
    </row>
    <row r="90" spans="1:124" ht="15.75" customHeight="1">
      <c r="A90" s="7" t="s">
        <v>257</v>
      </c>
    </row>
    <row r="91" spans="1:124" ht="15.75" customHeight="1">
      <c r="AP91" s="13"/>
      <c r="AR91" s="17"/>
      <c r="AW91" s="13"/>
      <c r="BE91" s="13"/>
      <c r="BG91" s="13"/>
      <c r="BH91" s="13"/>
      <c r="BI91" s="13"/>
      <c r="BK91" s="13"/>
      <c r="BL91" s="13"/>
      <c r="BM91" s="13"/>
      <c r="BN91" s="13"/>
      <c r="BO91" s="13"/>
      <c r="BP91" s="13"/>
      <c r="BQ91" s="13"/>
      <c r="BS91" s="13"/>
      <c r="BT91" s="13"/>
      <c r="BU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M91" s="13"/>
      <c r="CN91" s="13"/>
      <c r="CO91" s="13"/>
      <c r="CV91" s="13"/>
      <c r="CW91" s="13"/>
      <c r="CX91" s="13"/>
    </row>
    <row r="92" spans="1:124" ht="15.75" customHeight="1">
      <c r="AP92" s="13"/>
      <c r="AR92" s="17"/>
      <c r="AW92" s="13"/>
      <c r="BE92" s="13"/>
      <c r="BG92" s="13"/>
      <c r="BH92" s="13"/>
      <c r="BI92" s="13"/>
      <c r="BK92" s="13"/>
      <c r="BL92" s="13"/>
      <c r="BM92" s="13"/>
      <c r="BN92" s="13"/>
      <c r="BO92" s="13"/>
      <c r="BP92" s="13"/>
      <c r="BQ92" s="13"/>
      <c r="BS92" s="13"/>
      <c r="BT92" s="13"/>
      <c r="BU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M92" s="13"/>
      <c r="CN92" s="13"/>
      <c r="CO92" s="13"/>
      <c r="CV92" s="13"/>
      <c r="CW92" s="13"/>
      <c r="CX92" s="13"/>
    </row>
    <row r="93" spans="1:124" ht="15.75" customHeight="1">
      <c r="AP93" s="13"/>
      <c r="AR93" s="17"/>
      <c r="AW93" s="13"/>
      <c r="BE93" s="13"/>
      <c r="BG93" s="13"/>
      <c r="BH93" s="13"/>
      <c r="BI93" s="13"/>
      <c r="BK93" s="13"/>
      <c r="BL93" s="13"/>
      <c r="BM93" s="13"/>
      <c r="BN93" s="13"/>
      <c r="BO93" s="13"/>
      <c r="BP93" s="13"/>
      <c r="BQ93" s="13"/>
      <c r="BS93" s="13"/>
      <c r="BT93" s="13"/>
      <c r="BU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M93" s="13"/>
      <c r="CN93" s="13"/>
      <c r="CO93" s="13"/>
      <c r="CV93" s="13"/>
      <c r="CW93" s="13"/>
      <c r="CX93" s="13"/>
    </row>
    <row r="94" spans="1:124" ht="15.75" customHeight="1">
      <c r="AP94" s="13"/>
      <c r="AR94" s="17"/>
      <c r="AW94" s="13"/>
      <c r="BE94" s="13"/>
      <c r="BG94" s="13"/>
      <c r="BH94" s="13"/>
      <c r="BI94" s="13"/>
      <c r="BK94" s="13"/>
      <c r="BL94" s="13"/>
      <c r="BM94" s="13"/>
      <c r="BN94" s="13"/>
      <c r="BO94" s="13"/>
      <c r="BP94" s="13"/>
      <c r="BQ94" s="13"/>
      <c r="BS94" s="13"/>
      <c r="BT94" s="13"/>
      <c r="BU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M94" s="13"/>
      <c r="CN94" s="13"/>
      <c r="CO94" s="13"/>
      <c r="CV94" s="13"/>
      <c r="CW94" s="13"/>
      <c r="CX94" s="13"/>
    </row>
    <row r="95" spans="1:124" ht="15.75" customHeight="1">
      <c r="AP95" s="13"/>
      <c r="AR95" s="18"/>
      <c r="AW95" s="13"/>
      <c r="BE95" s="13"/>
      <c r="BG95" s="13"/>
      <c r="BH95" s="13"/>
      <c r="BI95" s="13"/>
      <c r="BK95" s="13"/>
      <c r="BL95" s="13"/>
      <c r="BM95" s="13"/>
      <c r="BN95" s="13"/>
      <c r="BO95" s="13"/>
      <c r="BP95" s="13"/>
      <c r="BQ95" s="13"/>
      <c r="BS95" s="13"/>
      <c r="BT95" s="13"/>
      <c r="BU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M95" s="13"/>
      <c r="CN95" s="13"/>
      <c r="CO95" s="13"/>
      <c r="CV95" s="13"/>
      <c r="CW95" s="13"/>
      <c r="CX95" s="13"/>
    </row>
    <row r="96" spans="1:124" ht="15.75" customHeight="1">
      <c r="AP96" s="13"/>
      <c r="AR96" s="17"/>
      <c r="AW96" s="13"/>
      <c r="BE96" s="13"/>
      <c r="BG96" s="13"/>
      <c r="BH96" s="13"/>
      <c r="BI96" s="13"/>
      <c r="BK96" s="13"/>
      <c r="BL96" s="13"/>
      <c r="BM96" s="13"/>
      <c r="BN96" s="13"/>
      <c r="BO96" s="13"/>
      <c r="BP96" s="13"/>
      <c r="BQ96" s="13"/>
      <c r="BS96" s="13"/>
      <c r="BT96" s="13"/>
      <c r="BU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M96" s="13"/>
      <c r="CN96" s="13"/>
      <c r="CO96" s="13"/>
      <c r="CV96" s="13"/>
      <c r="CW96" s="13"/>
      <c r="CX96" s="13"/>
    </row>
    <row r="97" spans="42:102" ht="15.75" customHeight="1">
      <c r="AP97" s="13"/>
      <c r="AR97" s="17"/>
      <c r="AW97" s="13"/>
      <c r="BE97" s="13"/>
      <c r="BG97" s="13"/>
      <c r="BH97" s="13"/>
      <c r="BI97" s="13"/>
      <c r="BK97" s="13"/>
      <c r="BL97" s="13"/>
      <c r="BM97" s="13"/>
      <c r="BN97" s="13"/>
      <c r="BO97" s="13"/>
      <c r="BP97" s="13"/>
      <c r="BQ97" s="13"/>
      <c r="BS97" s="13"/>
      <c r="BT97" s="13"/>
      <c r="BU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M97" s="13"/>
      <c r="CN97" s="13"/>
      <c r="CO97" s="13"/>
      <c r="CV97" s="13"/>
      <c r="CW97" s="13"/>
      <c r="CX97" s="13"/>
    </row>
    <row r="98" spans="42:102" ht="15.75" customHeight="1">
      <c r="AP98" s="13"/>
      <c r="AR98" s="17"/>
      <c r="AW98" s="13"/>
      <c r="BE98" s="13"/>
      <c r="BG98" s="13"/>
      <c r="BH98" s="13"/>
      <c r="BI98" s="13"/>
      <c r="BK98" s="13"/>
      <c r="BL98" s="13"/>
      <c r="BM98" s="13"/>
      <c r="BN98" s="13"/>
      <c r="BO98" s="13"/>
      <c r="BP98" s="13"/>
      <c r="BQ98" s="13"/>
      <c r="BS98" s="13"/>
      <c r="BT98" s="13"/>
      <c r="BU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M98" s="13"/>
      <c r="CN98" s="13"/>
      <c r="CO98" s="13"/>
      <c r="CV98" s="13"/>
      <c r="CW98" s="13"/>
      <c r="CX98" s="13"/>
    </row>
    <row r="99" spans="42:102" ht="15.75" customHeight="1">
      <c r="AP99" s="13"/>
      <c r="AR99" s="17"/>
      <c r="AW99" s="13"/>
      <c r="BE99" s="13"/>
      <c r="BG99" s="13"/>
      <c r="BH99" s="13"/>
      <c r="BI99" s="13"/>
      <c r="BK99" s="13"/>
      <c r="BL99" s="13"/>
      <c r="BM99" s="13"/>
      <c r="BN99" s="13"/>
      <c r="BO99" s="13"/>
      <c r="BP99" s="13"/>
      <c r="BQ99" s="13"/>
      <c r="BS99" s="13"/>
      <c r="BT99" s="13"/>
      <c r="BU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M99" s="13"/>
      <c r="CN99" s="13"/>
      <c r="CO99" s="13"/>
      <c r="CV99" s="13"/>
      <c r="CW99" s="13"/>
      <c r="CX99" s="13"/>
    </row>
    <row r="100" spans="42:102" ht="15.75" customHeight="1">
      <c r="AP100" s="13"/>
      <c r="AR100" s="17"/>
      <c r="AW100" s="13"/>
      <c r="BE100" s="13"/>
      <c r="BG100" s="13"/>
      <c r="BH100" s="13"/>
      <c r="BI100" s="13"/>
      <c r="BK100" s="13"/>
      <c r="BL100" s="13"/>
      <c r="BM100" s="13"/>
      <c r="BN100" s="13"/>
      <c r="BO100" s="13"/>
      <c r="BP100" s="13"/>
      <c r="BQ100" s="13"/>
      <c r="BS100" s="13"/>
      <c r="BT100" s="13"/>
      <c r="BU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M100" s="13"/>
      <c r="CN100" s="13"/>
      <c r="CO100" s="13"/>
      <c r="CV100" s="13"/>
      <c r="CW100" s="13"/>
      <c r="CX100" s="13"/>
    </row>
    <row r="101" spans="42:102" ht="15.75" customHeight="1">
      <c r="AP101" s="13"/>
      <c r="AR101" s="18"/>
      <c r="AW101" s="13"/>
      <c r="BE101" s="13"/>
      <c r="BG101" s="13"/>
      <c r="BH101" s="13"/>
      <c r="BI101" s="13"/>
      <c r="BK101" s="13"/>
      <c r="BL101" s="13"/>
      <c r="BM101" s="13"/>
      <c r="BN101" s="13"/>
      <c r="BO101" s="13"/>
      <c r="BP101" s="13"/>
      <c r="BQ101" s="13"/>
      <c r="BS101" s="13"/>
      <c r="BT101" s="13"/>
      <c r="BU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M101" s="13"/>
      <c r="CN101" s="13"/>
      <c r="CO101" s="13"/>
      <c r="CV101" s="13"/>
      <c r="CW101" s="13"/>
      <c r="CX101" s="13"/>
    </row>
    <row r="102" spans="42:102" ht="15.75" customHeight="1">
      <c r="AP102" s="13"/>
      <c r="AR102" s="17"/>
      <c r="AW102" s="13"/>
      <c r="BE102" s="13"/>
      <c r="BG102" s="13"/>
      <c r="BH102" s="13"/>
      <c r="BI102" s="13"/>
      <c r="BK102" s="13"/>
      <c r="BL102" s="13"/>
      <c r="BM102" s="13"/>
      <c r="BN102" s="13"/>
      <c r="BO102" s="13"/>
      <c r="BP102" s="13"/>
      <c r="BQ102" s="13"/>
      <c r="BS102" s="13"/>
      <c r="BT102" s="13"/>
      <c r="BU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M102" s="13"/>
      <c r="CN102" s="13"/>
      <c r="CO102" s="13"/>
      <c r="CV102" s="13"/>
      <c r="CW102" s="13"/>
      <c r="CX102" s="13"/>
    </row>
    <row r="103" spans="42:102" ht="15.75" customHeight="1">
      <c r="AP103" s="13"/>
      <c r="AR103" s="17"/>
      <c r="AW103" s="13"/>
      <c r="BE103" s="13"/>
      <c r="BG103" s="13"/>
      <c r="BH103" s="13"/>
      <c r="BI103" s="13"/>
      <c r="BK103" s="13"/>
      <c r="BL103" s="13"/>
      <c r="BM103" s="13"/>
      <c r="BN103" s="13"/>
      <c r="BO103" s="13"/>
      <c r="BP103" s="13"/>
      <c r="BQ103" s="13"/>
      <c r="BS103" s="13"/>
      <c r="BT103" s="13"/>
      <c r="BU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M103" s="13"/>
      <c r="CN103" s="13"/>
      <c r="CO103" s="13"/>
      <c r="CV103" s="13"/>
      <c r="CW103" s="13"/>
      <c r="CX103" s="13"/>
    </row>
    <row r="104" spans="42:102" ht="15.75" customHeight="1">
      <c r="AP104" s="13"/>
      <c r="AR104" s="17"/>
      <c r="AW104" s="13"/>
      <c r="BE104" s="13"/>
      <c r="BG104" s="13"/>
      <c r="BH104" s="13"/>
      <c r="BI104" s="13"/>
      <c r="BK104" s="13"/>
      <c r="BL104" s="13"/>
      <c r="BM104" s="13"/>
      <c r="BN104" s="13"/>
      <c r="BO104" s="13"/>
      <c r="BP104" s="13"/>
      <c r="BQ104" s="13"/>
      <c r="BS104" s="13"/>
      <c r="BT104" s="13"/>
      <c r="BU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M104" s="13"/>
      <c r="CN104" s="13"/>
      <c r="CO104" s="13"/>
      <c r="CV104" s="13"/>
      <c r="CW104" s="13"/>
      <c r="CX104" s="13"/>
    </row>
    <row r="105" spans="42:102" ht="15.75" customHeight="1">
      <c r="AP105" s="13"/>
      <c r="AR105" s="17"/>
      <c r="AW105" s="13"/>
      <c r="BE105" s="13"/>
      <c r="BG105" s="13"/>
      <c r="BH105" s="13"/>
      <c r="BI105" s="13"/>
      <c r="BK105" s="13"/>
      <c r="BL105" s="13"/>
      <c r="BM105" s="13"/>
      <c r="BN105" s="13"/>
      <c r="BO105" s="13"/>
      <c r="BP105" s="13"/>
      <c r="BQ105" s="13"/>
      <c r="BS105" s="13"/>
      <c r="BT105" s="13"/>
      <c r="BU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M105" s="13"/>
      <c r="CN105" s="13"/>
      <c r="CO105" s="13"/>
      <c r="CV105" s="13"/>
      <c r="CW105" s="13"/>
      <c r="CX105" s="13"/>
    </row>
    <row r="106" spans="42:102" ht="15.75" customHeight="1">
      <c r="AP106" s="13"/>
      <c r="AR106" s="17"/>
      <c r="AW106" s="13"/>
      <c r="BE106" s="13"/>
      <c r="BG106" s="13"/>
      <c r="BH106" s="13"/>
      <c r="BI106" s="13"/>
      <c r="BK106" s="13"/>
      <c r="BL106" s="13"/>
      <c r="BM106" s="13"/>
      <c r="BN106" s="13"/>
      <c r="BO106" s="13"/>
      <c r="BP106" s="13"/>
      <c r="BQ106" s="13"/>
      <c r="BS106" s="13"/>
      <c r="BT106" s="13"/>
      <c r="BU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M106" s="13"/>
      <c r="CN106" s="13"/>
      <c r="CO106" s="13"/>
      <c r="CV106" s="13"/>
      <c r="CW106" s="13"/>
      <c r="CX106" s="13"/>
    </row>
    <row r="107" spans="42:102" ht="15.75" customHeight="1">
      <c r="AP107" s="13"/>
      <c r="AR107" s="18"/>
      <c r="AW107" s="13"/>
      <c r="BE107" s="13"/>
      <c r="BG107" s="13"/>
      <c r="BH107" s="13"/>
      <c r="BI107" s="13"/>
      <c r="BK107" s="13"/>
      <c r="BL107" s="13"/>
      <c r="BM107" s="13"/>
      <c r="BN107" s="13"/>
      <c r="BO107" s="13"/>
      <c r="BP107" s="13"/>
      <c r="BQ107" s="13"/>
      <c r="BS107" s="13"/>
      <c r="BT107" s="13"/>
      <c r="BU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M107" s="13"/>
      <c r="CN107" s="13"/>
      <c r="CO107" s="13"/>
      <c r="CV107" s="13"/>
      <c r="CW107" s="13"/>
      <c r="CX107" s="13"/>
    </row>
    <row r="108" spans="42:102" ht="15.75" customHeight="1">
      <c r="AP108" s="13"/>
      <c r="AR108" s="17"/>
      <c r="AW108" s="13"/>
      <c r="BE108" s="13"/>
      <c r="BG108" s="13"/>
      <c r="BH108" s="13"/>
      <c r="BI108" s="13"/>
      <c r="BK108" s="13"/>
      <c r="BL108" s="13"/>
      <c r="BM108" s="13"/>
      <c r="BN108" s="13"/>
      <c r="BO108" s="13"/>
      <c r="BP108" s="13"/>
      <c r="BQ108" s="13"/>
      <c r="BS108" s="13"/>
      <c r="BT108" s="13"/>
      <c r="BU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M108" s="13"/>
      <c r="CN108" s="13"/>
      <c r="CO108" s="13"/>
      <c r="CV108" s="13"/>
      <c r="CW108" s="13"/>
      <c r="CX108" s="13"/>
    </row>
    <row r="109" spans="42:102" ht="15.75" customHeight="1">
      <c r="AP109" s="13"/>
      <c r="AR109" s="17"/>
      <c r="AW109" s="13"/>
      <c r="BE109" s="13"/>
      <c r="BG109" s="13"/>
      <c r="BH109" s="13"/>
      <c r="BI109" s="13"/>
      <c r="BK109" s="13"/>
      <c r="BL109" s="13"/>
      <c r="BM109" s="13"/>
      <c r="BN109" s="13"/>
      <c r="BO109" s="13"/>
      <c r="BP109" s="13"/>
      <c r="BQ109" s="13"/>
      <c r="BS109" s="13"/>
      <c r="BT109" s="13"/>
      <c r="BU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M109" s="13"/>
      <c r="CN109" s="13"/>
      <c r="CO109" s="13"/>
      <c r="CV109" s="13"/>
      <c r="CW109" s="13"/>
      <c r="CX109" s="13"/>
    </row>
    <row r="110" spans="42:102" ht="15.75" customHeight="1">
      <c r="AP110" s="13"/>
      <c r="AR110" s="17"/>
      <c r="AW110" s="13"/>
      <c r="BE110" s="13"/>
      <c r="BG110" s="13"/>
      <c r="BH110" s="13"/>
      <c r="BI110" s="13"/>
      <c r="BK110" s="13"/>
      <c r="BL110" s="13"/>
      <c r="BM110" s="13"/>
      <c r="BN110" s="13"/>
      <c r="BO110" s="13"/>
      <c r="BP110" s="13"/>
      <c r="BQ110" s="13"/>
      <c r="BS110" s="13"/>
      <c r="BT110" s="13"/>
      <c r="BU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M110" s="13"/>
      <c r="CN110" s="13"/>
      <c r="CO110" s="13"/>
      <c r="CV110" s="13"/>
      <c r="CW110" s="13"/>
      <c r="CX110" s="13"/>
    </row>
    <row r="111" spans="42:102" ht="15.75" customHeight="1">
      <c r="AP111" s="13"/>
      <c r="AR111" s="17"/>
      <c r="AW111" s="13"/>
      <c r="BE111" s="13"/>
      <c r="BG111" s="13"/>
      <c r="BH111" s="13"/>
      <c r="BI111" s="13"/>
      <c r="BK111" s="13"/>
      <c r="BL111" s="13"/>
      <c r="BM111" s="13"/>
      <c r="BN111" s="13"/>
      <c r="BO111" s="13"/>
      <c r="BP111" s="13"/>
      <c r="BQ111" s="13"/>
      <c r="BS111" s="13"/>
      <c r="BT111" s="13"/>
      <c r="BU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M111" s="13"/>
      <c r="CN111" s="13"/>
      <c r="CO111" s="13"/>
      <c r="CV111" s="13"/>
      <c r="CW111" s="13"/>
      <c r="CX111" s="13"/>
    </row>
    <row r="112" spans="42:102" ht="15.75" customHeight="1">
      <c r="AP112" s="13"/>
      <c r="AR112" s="17"/>
      <c r="AW112" s="13"/>
      <c r="BE112" s="13"/>
      <c r="BG112" s="13"/>
      <c r="BH112" s="13"/>
      <c r="BI112" s="13"/>
      <c r="BK112" s="13"/>
      <c r="BL112" s="13"/>
      <c r="BM112" s="13"/>
      <c r="BN112" s="13"/>
      <c r="BO112" s="13"/>
      <c r="BP112" s="13"/>
      <c r="BQ112" s="13"/>
      <c r="BS112" s="13"/>
      <c r="BT112" s="13"/>
      <c r="BU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M112" s="13"/>
      <c r="CN112" s="13"/>
      <c r="CO112" s="13"/>
      <c r="CV112" s="13"/>
      <c r="CW112" s="13"/>
      <c r="CX112" s="13"/>
    </row>
    <row r="113" spans="42:102" ht="15.75" customHeight="1">
      <c r="AP113" s="13"/>
      <c r="AR113" s="17"/>
      <c r="AW113" s="13"/>
      <c r="BE113" s="13"/>
      <c r="BG113" s="13"/>
      <c r="BH113" s="13"/>
      <c r="BI113" s="13"/>
      <c r="BK113" s="13"/>
      <c r="BL113" s="13"/>
      <c r="BM113" s="13"/>
      <c r="BN113" s="13"/>
      <c r="BO113" s="13"/>
      <c r="BP113" s="13"/>
      <c r="BQ113" s="13"/>
      <c r="BS113" s="13"/>
      <c r="BT113" s="13"/>
      <c r="BU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M113" s="13"/>
      <c r="CN113" s="13"/>
      <c r="CO113" s="13"/>
      <c r="CV113" s="13"/>
      <c r="CW113" s="13"/>
      <c r="CX113" s="13"/>
    </row>
    <row r="114" spans="42:102" ht="15.75" customHeight="1">
      <c r="AP114" s="13"/>
      <c r="AR114" s="18"/>
      <c r="AW114" s="13"/>
      <c r="BE114" s="13"/>
      <c r="BG114" s="13"/>
      <c r="BH114" s="13"/>
      <c r="BI114" s="13"/>
      <c r="BK114" s="13"/>
      <c r="BL114" s="13"/>
      <c r="BM114" s="13"/>
      <c r="BN114" s="13"/>
      <c r="BO114" s="13"/>
      <c r="BP114" s="13"/>
      <c r="BQ114" s="13"/>
      <c r="BS114" s="13"/>
      <c r="BT114" s="13"/>
      <c r="BU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M114" s="13"/>
      <c r="CN114" s="13"/>
      <c r="CO114" s="13"/>
      <c r="CV114" s="13"/>
      <c r="CW114" s="13"/>
      <c r="CX114" s="13"/>
    </row>
    <row r="115" spans="42:102" ht="15.75" customHeight="1">
      <c r="AP115" s="13"/>
      <c r="AR115" s="17"/>
      <c r="AW115" s="13"/>
      <c r="BE115" s="13"/>
      <c r="BG115" s="13"/>
      <c r="BH115" s="13"/>
      <c r="BI115" s="13"/>
      <c r="BK115" s="13"/>
      <c r="BL115" s="13"/>
      <c r="BM115" s="13"/>
      <c r="BN115" s="13"/>
      <c r="BO115" s="13"/>
      <c r="BP115" s="13"/>
      <c r="BQ115" s="13"/>
      <c r="BS115" s="13"/>
      <c r="BT115" s="13"/>
      <c r="BU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M115" s="13"/>
      <c r="CN115" s="13"/>
      <c r="CO115" s="13"/>
      <c r="CV115" s="13"/>
      <c r="CW115" s="13"/>
      <c r="CX115" s="13"/>
    </row>
    <row r="116" spans="42:102" ht="15.75" customHeight="1">
      <c r="AP116" s="13"/>
      <c r="AR116" s="17"/>
      <c r="AW116" s="13"/>
      <c r="BE116" s="13"/>
      <c r="BG116" s="13"/>
      <c r="BH116" s="13"/>
      <c r="BI116" s="13"/>
      <c r="BK116" s="13"/>
      <c r="BL116" s="13"/>
      <c r="BM116" s="13"/>
      <c r="BN116" s="13"/>
      <c r="BO116" s="13"/>
      <c r="BP116" s="13"/>
      <c r="BQ116" s="13"/>
      <c r="BS116" s="13"/>
      <c r="BT116" s="13"/>
      <c r="BU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M116" s="13"/>
      <c r="CN116" s="13"/>
      <c r="CO116" s="13"/>
      <c r="CV116" s="13"/>
      <c r="CW116" s="13"/>
      <c r="CX116" s="13"/>
    </row>
    <row r="117" spans="42:102" ht="15.75" customHeight="1">
      <c r="AP117" s="13"/>
      <c r="AR117" s="17"/>
      <c r="AW117" s="13"/>
      <c r="BE117" s="13"/>
      <c r="BG117" s="13"/>
      <c r="BH117" s="13"/>
      <c r="BI117" s="13"/>
      <c r="BK117" s="13"/>
      <c r="BL117" s="13"/>
      <c r="BM117" s="13"/>
      <c r="BN117" s="13"/>
      <c r="BO117" s="13"/>
      <c r="BP117" s="13"/>
      <c r="BQ117" s="13"/>
      <c r="BS117" s="13"/>
      <c r="BT117" s="13"/>
      <c r="BU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M117" s="13"/>
      <c r="CN117" s="13"/>
      <c r="CO117" s="13"/>
      <c r="CV117" s="13"/>
      <c r="CW117" s="13"/>
      <c r="CX117" s="13"/>
    </row>
    <row r="118" spans="42:102" ht="15.75" customHeight="1">
      <c r="AP118" s="13"/>
      <c r="AR118" s="17"/>
      <c r="AW118" s="13"/>
      <c r="BE118" s="13"/>
      <c r="BG118" s="13"/>
      <c r="BH118" s="13"/>
      <c r="BI118" s="13"/>
      <c r="BK118" s="13"/>
      <c r="BL118" s="13"/>
      <c r="BM118" s="13"/>
      <c r="BN118" s="13"/>
      <c r="BO118" s="13"/>
      <c r="BP118" s="13"/>
      <c r="BQ118" s="13"/>
      <c r="BS118" s="13"/>
      <c r="BT118" s="13"/>
      <c r="BU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M118" s="13"/>
      <c r="CN118" s="13"/>
      <c r="CO118" s="13"/>
      <c r="CV118" s="13"/>
      <c r="CW118" s="13"/>
      <c r="CX118" s="13"/>
    </row>
    <row r="119" spans="42:102" ht="15.75" customHeight="1">
      <c r="AP119" s="13"/>
      <c r="AR119" s="18"/>
      <c r="AW119" s="13"/>
      <c r="BE119" s="13"/>
      <c r="BG119" s="13"/>
      <c r="BH119" s="13"/>
      <c r="BI119" s="13"/>
      <c r="BK119" s="13"/>
      <c r="BL119" s="13"/>
      <c r="BM119" s="13"/>
      <c r="BN119" s="13"/>
      <c r="BO119" s="13"/>
      <c r="BP119" s="13"/>
      <c r="BQ119" s="13"/>
      <c r="BS119" s="13"/>
      <c r="BT119" s="13"/>
      <c r="BU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M119" s="13"/>
      <c r="CN119" s="13"/>
      <c r="CO119" s="13"/>
      <c r="CV119" s="13"/>
      <c r="CW119" s="13"/>
      <c r="CX119" s="13"/>
    </row>
    <row r="120" spans="42:102" ht="15.75" customHeight="1">
      <c r="AP120" s="13"/>
      <c r="AR120" s="17"/>
      <c r="AW120" s="13"/>
      <c r="BE120" s="13"/>
      <c r="BG120" s="13"/>
      <c r="BH120" s="13"/>
      <c r="BI120" s="13"/>
      <c r="BK120" s="13"/>
      <c r="BL120" s="13"/>
      <c r="BM120" s="13"/>
      <c r="BN120" s="13"/>
      <c r="BO120" s="13"/>
      <c r="BP120" s="13"/>
      <c r="BQ120" s="13"/>
      <c r="BS120" s="13"/>
      <c r="BT120" s="13"/>
      <c r="BU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M120" s="13"/>
      <c r="CN120" s="13"/>
      <c r="CO120" s="13"/>
      <c r="CV120" s="13"/>
      <c r="CW120" s="13"/>
      <c r="CX120" s="13"/>
    </row>
    <row r="121" spans="42:102" ht="15.75" customHeight="1">
      <c r="AP121" s="13"/>
      <c r="AR121" s="17"/>
      <c r="AW121" s="13"/>
      <c r="BE121" s="13"/>
      <c r="BG121" s="13"/>
      <c r="BH121" s="13"/>
      <c r="BI121" s="13"/>
      <c r="BK121" s="13"/>
      <c r="BL121" s="13"/>
      <c r="BM121" s="13"/>
      <c r="BN121" s="13"/>
      <c r="BO121" s="13"/>
      <c r="BP121" s="13"/>
      <c r="BQ121" s="13"/>
      <c r="BS121" s="13"/>
      <c r="BT121" s="13"/>
      <c r="BU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M121" s="13"/>
      <c r="CN121" s="13"/>
      <c r="CO121" s="13"/>
      <c r="CV121" s="13"/>
      <c r="CW121" s="13"/>
      <c r="CX121" s="13"/>
    </row>
    <row r="122" spans="42:102" ht="15.75" customHeight="1">
      <c r="AP122" s="13"/>
      <c r="AR122" s="17"/>
      <c r="AW122" s="13"/>
      <c r="BE122" s="13"/>
      <c r="BG122" s="13"/>
      <c r="BH122" s="13"/>
      <c r="BI122" s="13"/>
      <c r="BK122" s="13"/>
      <c r="BL122" s="13"/>
      <c r="BM122" s="13"/>
      <c r="BN122" s="13"/>
      <c r="BO122" s="13"/>
      <c r="BP122" s="13"/>
      <c r="BQ122" s="13"/>
      <c r="BS122" s="13"/>
      <c r="BT122" s="13"/>
      <c r="BU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M122" s="13"/>
      <c r="CN122" s="13"/>
      <c r="CO122" s="13"/>
      <c r="CV122" s="13"/>
      <c r="CW122" s="13"/>
      <c r="CX122" s="13"/>
    </row>
    <row r="123" spans="42:102" ht="15.75" customHeight="1">
      <c r="AP123" s="13"/>
      <c r="AR123" s="17"/>
      <c r="AW123" s="13"/>
      <c r="BE123" s="13"/>
      <c r="BG123" s="13"/>
      <c r="BH123" s="13"/>
      <c r="BI123" s="13"/>
      <c r="BK123" s="13"/>
      <c r="BL123" s="13"/>
      <c r="BM123" s="13"/>
      <c r="BN123" s="13"/>
      <c r="BO123" s="13"/>
      <c r="BP123" s="13"/>
      <c r="BQ123" s="13"/>
      <c r="BS123" s="13"/>
      <c r="BT123" s="13"/>
      <c r="BU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M123" s="13"/>
      <c r="CN123" s="13"/>
      <c r="CO123" s="13"/>
      <c r="CV123" s="13"/>
      <c r="CW123" s="13"/>
      <c r="CX123" s="13"/>
    </row>
    <row r="124" spans="42:102" ht="15.75" customHeight="1">
      <c r="AP124" s="13"/>
      <c r="AR124" s="17"/>
      <c r="AW124" s="13"/>
      <c r="BE124" s="13"/>
      <c r="BG124" s="13"/>
      <c r="BH124" s="13"/>
      <c r="BI124" s="13"/>
      <c r="BK124" s="13"/>
      <c r="BL124" s="13"/>
      <c r="BM124" s="13"/>
      <c r="BN124" s="13"/>
      <c r="BO124" s="13"/>
      <c r="BP124" s="13"/>
      <c r="BQ124" s="13"/>
      <c r="BS124" s="13"/>
      <c r="BT124" s="13"/>
      <c r="BU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M124" s="13"/>
      <c r="CN124" s="13"/>
      <c r="CO124" s="13"/>
      <c r="CV124" s="13"/>
      <c r="CW124" s="13"/>
      <c r="CX124" s="13"/>
    </row>
    <row r="125" spans="42:102" ht="15.75" customHeight="1">
      <c r="AP125" s="13"/>
      <c r="AR125" s="18"/>
      <c r="AW125" s="13"/>
      <c r="BE125" s="13"/>
      <c r="BG125" s="13"/>
      <c r="BH125" s="13"/>
      <c r="BI125" s="13"/>
      <c r="BK125" s="13"/>
      <c r="BL125" s="13"/>
      <c r="BM125" s="13"/>
      <c r="BN125" s="13"/>
      <c r="BO125" s="13"/>
      <c r="BP125" s="13"/>
      <c r="BQ125" s="13"/>
      <c r="BS125" s="13"/>
      <c r="BT125" s="13"/>
      <c r="BU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M125" s="13"/>
      <c r="CN125" s="13"/>
      <c r="CO125" s="13"/>
      <c r="CV125" s="13"/>
      <c r="CW125" s="13"/>
      <c r="CX125" s="13"/>
    </row>
    <row r="126" spans="42:102" ht="15.75" customHeight="1">
      <c r="AP126" s="13"/>
      <c r="AR126" s="17"/>
    </row>
    <row r="127" spans="42:102" ht="15.75" customHeight="1">
      <c r="AP127" s="13"/>
      <c r="AR127" s="17"/>
    </row>
    <row r="128" spans="42:102" ht="15.75" customHeight="1">
      <c r="AP128" s="13"/>
      <c r="AR128" s="17"/>
    </row>
    <row r="129" spans="42:44" ht="15.75" customHeight="1">
      <c r="AP129" s="13"/>
      <c r="AR129" s="17"/>
    </row>
    <row r="130" spans="42:44" ht="15.75" customHeight="1">
      <c r="AP130" s="13"/>
      <c r="AR130" s="17"/>
    </row>
    <row r="131" spans="42:44" ht="15.75" customHeight="1">
      <c r="AP131" s="13"/>
      <c r="AR131" s="18"/>
    </row>
    <row r="132" spans="42:44" ht="15.75" customHeight="1">
      <c r="AP132" s="13"/>
      <c r="AR132" s="17"/>
    </row>
    <row r="133" spans="42:44" ht="15.75" customHeight="1">
      <c r="AP133" s="13"/>
      <c r="AR133" s="17"/>
    </row>
    <row r="134" spans="42:44" ht="15.75" customHeight="1">
      <c r="AP134" s="13"/>
      <c r="AR134" s="17"/>
    </row>
    <row r="135" spans="42:44" ht="15.75" customHeight="1">
      <c r="AP135" s="13"/>
      <c r="AR135" s="17"/>
    </row>
    <row r="136" spans="42:44" ht="15.75" customHeight="1">
      <c r="AP136" s="13"/>
      <c r="AR136" s="17"/>
    </row>
    <row r="137" spans="42:44" ht="15.75" customHeight="1">
      <c r="AP137" s="13"/>
      <c r="AR137" s="18"/>
    </row>
    <row r="138" spans="42:44" ht="15.75" customHeight="1">
      <c r="AP138" s="13"/>
      <c r="AR138" s="17"/>
    </row>
    <row r="139" spans="42:44" ht="15.75" customHeight="1">
      <c r="AP139" s="13"/>
      <c r="AR139" s="17"/>
    </row>
    <row r="140" spans="42:44" ht="15.75" customHeight="1">
      <c r="AP140" s="13"/>
      <c r="AR140" s="17"/>
    </row>
    <row r="141" spans="42:44" ht="15.75" customHeight="1">
      <c r="AP141" s="13"/>
      <c r="AR141" s="17"/>
    </row>
    <row r="142" spans="42:44" ht="15.75" customHeight="1">
      <c r="AP142" s="13"/>
      <c r="AR142" s="17"/>
    </row>
    <row r="143" spans="42:44" ht="15.75" customHeight="1">
      <c r="AP143" s="13"/>
      <c r="AR143" s="17"/>
    </row>
    <row r="144" spans="42:44" ht="15.75" customHeight="1">
      <c r="AP144" s="13"/>
      <c r="AR144" s="18"/>
    </row>
    <row r="145" spans="42:44" ht="15.75" customHeight="1">
      <c r="AP145" s="13"/>
      <c r="AR145" s="17"/>
    </row>
    <row r="146" spans="42:44" ht="15.75" customHeight="1">
      <c r="AP146" s="13"/>
      <c r="AR146" s="17"/>
    </row>
    <row r="147" spans="42:44" ht="15.75" customHeight="1">
      <c r="AP147" s="13"/>
      <c r="AR147" s="17"/>
    </row>
    <row r="148" spans="42:44" ht="15.75" customHeight="1">
      <c r="AP148" s="13"/>
      <c r="AR148" s="17"/>
    </row>
    <row r="149" spans="42:44" ht="15.75" customHeight="1">
      <c r="AP149" s="13"/>
      <c r="AR149" s="17"/>
    </row>
    <row r="150" spans="42:44" ht="15.75" customHeight="1">
      <c r="AP150" s="13"/>
      <c r="AR150" s="18"/>
    </row>
    <row r="151" spans="42:44" ht="15.75" customHeight="1">
      <c r="AP151" s="13"/>
      <c r="AR151" s="17"/>
    </row>
    <row r="152" spans="42:44" ht="15.75" customHeight="1">
      <c r="AP152" s="13"/>
      <c r="AR152" s="17"/>
    </row>
    <row r="153" spans="42:44" ht="15.75" customHeight="1">
      <c r="AP153" s="13"/>
      <c r="AR153" s="17"/>
    </row>
    <row r="154" spans="42:44" ht="15.75" customHeight="1">
      <c r="AP154" s="13"/>
      <c r="AR154" s="17"/>
    </row>
    <row r="155" spans="42:44" ht="15.75" customHeight="1">
      <c r="AP155" s="13"/>
      <c r="AR155" s="18"/>
    </row>
    <row r="156" spans="42:44" ht="15.75" customHeight="1">
      <c r="AP156" s="13"/>
      <c r="AR156" s="17"/>
    </row>
    <row r="157" spans="42:44" ht="15.75" customHeight="1">
      <c r="AP157" s="13"/>
      <c r="AR157" s="17"/>
    </row>
    <row r="158" spans="42:44" ht="15.75" customHeight="1">
      <c r="AP158" s="13"/>
      <c r="AR158" s="17"/>
    </row>
    <row r="159" spans="42:44" ht="15.75" customHeight="1">
      <c r="AP159" s="13"/>
      <c r="AR159" s="17"/>
    </row>
    <row r="160" spans="42:44" ht="15.75" customHeight="1">
      <c r="AP160" s="13"/>
      <c r="AR160" s="17"/>
    </row>
    <row r="161" spans="42:44" ht="15.75" customHeight="1">
      <c r="AP161" s="13"/>
      <c r="AR161" s="18"/>
    </row>
    <row r="162" spans="42:44" ht="15.75" customHeight="1">
      <c r="AP162" s="13"/>
      <c r="AR162" s="17"/>
    </row>
    <row r="163" spans="42:44" ht="15.75" customHeight="1">
      <c r="AP163" s="13"/>
      <c r="AR163" s="17"/>
    </row>
    <row r="164" spans="42:44" ht="15.75" customHeight="1">
      <c r="AP164" s="13"/>
      <c r="AR164" s="17"/>
    </row>
    <row r="165" spans="42:44" ht="15.75" customHeight="1">
      <c r="AP165" s="13"/>
      <c r="AR165" s="17"/>
    </row>
    <row r="166" spans="42:44" ht="15.75" customHeight="1">
      <c r="AP166" s="13"/>
      <c r="AR166" s="17"/>
    </row>
    <row r="167" spans="42:44" ht="15.75" customHeight="1">
      <c r="AP167" s="13"/>
      <c r="AR167" s="18"/>
    </row>
    <row r="168" spans="42:44" ht="15.75" customHeight="1">
      <c r="AP168" s="13"/>
      <c r="AR168" s="17"/>
    </row>
    <row r="169" spans="42:44" ht="15.75" customHeight="1">
      <c r="AP169" s="13"/>
      <c r="AR169" s="17"/>
    </row>
    <row r="170" spans="42:44" ht="15.75" customHeight="1">
      <c r="AP170" s="13"/>
      <c r="AR170" s="17"/>
    </row>
    <row r="171" spans="42:44" ht="15.75" customHeight="1">
      <c r="AP171" s="13"/>
      <c r="AR171" s="17"/>
    </row>
    <row r="172" spans="42:44" ht="15.75" customHeight="1">
      <c r="AP172" s="13"/>
      <c r="AR172" s="17"/>
    </row>
    <row r="173" spans="42:44" ht="15.75" customHeight="1">
      <c r="AP173" s="13"/>
      <c r="AR173" s="17"/>
    </row>
    <row r="174" spans="42:44" ht="15.75" customHeight="1">
      <c r="AP174" s="13"/>
      <c r="AR174" s="18"/>
    </row>
    <row r="175" spans="42:44" ht="15.75" customHeight="1">
      <c r="AP175" s="13"/>
      <c r="AR175" s="17"/>
    </row>
    <row r="176" spans="42:44" ht="15.75" customHeight="1">
      <c r="AP176" s="13"/>
      <c r="AR176" s="17"/>
    </row>
    <row r="177" spans="42:44" ht="15.75" customHeight="1">
      <c r="AP177" s="13"/>
      <c r="AR177" s="17"/>
    </row>
    <row r="178" spans="42:44" ht="15.75" customHeight="1">
      <c r="AP178" s="13"/>
      <c r="AR178" s="17"/>
    </row>
    <row r="179" spans="42:44" ht="15.75" customHeight="1"/>
    <row r="180" spans="42:44" ht="15.75" customHeight="1"/>
    <row r="181" spans="42:44" ht="15.75" customHeight="1"/>
    <row r="182" spans="42:44" ht="15.75" customHeight="1"/>
    <row r="183" spans="42:44" ht="15.75" customHeight="1"/>
    <row r="184" spans="42:44" ht="15.75" customHeight="1"/>
    <row r="185" spans="42:44" ht="15.75" customHeight="1"/>
    <row r="186" spans="42:44" ht="15.75" customHeight="1"/>
    <row r="187" spans="42:44" ht="15.75" customHeight="1"/>
    <row r="188" spans="42:44" ht="15.75" customHeight="1"/>
    <row r="189" spans="42:44" ht="15.75" customHeight="1"/>
    <row r="190" spans="42:44" ht="15.75" customHeight="1"/>
    <row r="191" spans="42:44" ht="15.75" customHeight="1"/>
    <row r="192" spans="42:44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customSheetViews>
    <customSheetView guid="{35413393-C195-47D6-A72E-49FFB6143B63}" filter="1" showAutoFilter="1">
      <pageMargins left="0.7" right="0.7" top="0.75" bottom="0.75" header="0.3" footer="0.3"/>
      <autoFilter ref="A3:CY85" xr:uid="{3F197D15-9F23-2348-ABFB-420E4FD59F66}"/>
    </customSheetView>
  </customSheetView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9"/>
  <sheetViews>
    <sheetView workbookViewId="0"/>
  </sheetViews>
  <sheetFormatPr baseColWidth="10" defaultColWidth="12.6640625" defaultRowHeight="15" customHeight="1"/>
  <cols>
    <col min="2" max="2" width="14.83203125" customWidth="1"/>
  </cols>
  <sheetData>
    <row r="1" spans="1:25">
      <c r="A1" s="28" t="s">
        <v>269</v>
      </c>
      <c r="B1" s="28" t="s">
        <v>270</v>
      </c>
      <c r="C1" s="28">
        <v>1</v>
      </c>
      <c r="D1" s="28">
        <v>2</v>
      </c>
      <c r="E1" s="28">
        <v>3</v>
      </c>
      <c r="F1" s="28">
        <v>4</v>
      </c>
      <c r="G1" s="28">
        <v>5</v>
      </c>
      <c r="H1" s="28">
        <v>6</v>
      </c>
      <c r="I1" s="28" t="s">
        <v>271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spans="1:25">
      <c r="A2" s="7">
        <v>1</v>
      </c>
      <c r="C2" s="7">
        <v>1</v>
      </c>
      <c r="I2" s="9" t="b">
        <f t="shared" ref="I2:I9" si="0">SUM(C2:H2)=1</f>
        <v>1</v>
      </c>
    </row>
    <row r="3" spans="1:25">
      <c r="A3" s="7">
        <v>2</v>
      </c>
      <c r="D3" s="7">
        <v>1</v>
      </c>
      <c r="I3" s="9" t="b">
        <f t="shared" si="0"/>
        <v>1</v>
      </c>
    </row>
    <row r="4" spans="1:25">
      <c r="A4" s="7">
        <v>3</v>
      </c>
      <c r="E4" s="7">
        <v>1</v>
      </c>
      <c r="I4" s="9" t="b">
        <f t="shared" si="0"/>
        <v>1</v>
      </c>
    </row>
    <row r="5" spans="1:25">
      <c r="A5" s="7">
        <v>4</v>
      </c>
      <c r="F5" s="7">
        <v>1</v>
      </c>
      <c r="I5" s="9" t="b">
        <f t="shared" si="0"/>
        <v>1</v>
      </c>
    </row>
    <row r="6" spans="1:25">
      <c r="A6" s="7">
        <v>5</v>
      </c>
      <c r="B6" s="7" t="s">
        <v>272</v>
      </c>
      <c r="G6" s="7">
        <v>1</v>
      </c>
      <c r="I6" s="9" t="b">
        <f t="shared" si="0"/>
        <v>1</v>
      </c>
    </row>
    <row r="7" spans="1:25">
      <c r="A7" s="7">
        <v>6</v>
      </c>
      <c r="B7" s="7" t="s">
        <v>273</v>
      </c>
      <c r="H7" s="7">
        <v>1</v>
      </c>
      <c r="I7" s="9" t="b">
        <f t="shared" si="0"/>
        <v>1</v>
      </c>
    </row>
    <row r="8" spans="1:25">
      <c r="A8" s="7" t="s">
        <v>274</v>
      </c>
      <c r="C8" s="7">
        <v>0</v>
      </c>
      <c r="D8" s="7">
        <v>0.5</v>
      </c>
      <c r="E8" s="7">
        <v>0.5</v>
      </c>
      <c r="F8" s="7">
        <v>0</v>
      </c>
      <c r="G8" s="7">
        <v>0</v>
      </c>
      <c r="H8" s="7">
        <v>0</v>
      </c>
      <c r="I8" s="9" t="b">
        <f t="shared" si="0"/>
        <v>1</v>
      </c>
    </row>
    <row r="9" spans="1:25">
      <c r="A9" s="7" t="s">
        <v>275</v>
      </c>
      <c r="C9" s="7">
        <v>0.1</v>
      </c>
      <c r="D9" s="7">
        <v>0.2</v>
      </c>
      <c r="H9" s="7">
        <v>0.7</v>
      </c>
      <c r="I9" s="9" t="b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" customHeight="1"/>
  <cols>
    <col min="1" max="1" width="10.1640625" customWidth="1"/>
    <col min="2" max="2" width="12.83203125" customWidth="1"/>
    <col min="3" max="4" width="10.6640625" customWidth="1"/>
    <col min="5" max="5" width="13.83203125" customWidth="1"/>
    <col min="6" max="6" width="8.1640625" customWidth="1"/>
    <col min="7" max="7" width="7.6640625" customWidth="1"/>
    <col min="8" max="8" width="18.33203125" customWidth="1"/>
    <col min="9" max="9" width="11.33203125" customWidth="1"/>
    <col min="10" max="10" width="19.6640625" customWidth="1"/>
  </cols>
  <sheetData>
    <row r="1" spans="1:10">
      <c r="A1" s="1" t="s">
        <v>0</v>
      </c>
      <c r="B1" s="2" t="s">
        <v>158</v>
      </c>
      <c r="C1" s="2" t="s">
        <v>276</v>
      </c>
      <c r="D1" s="1" t="s">
        <v>6</v>
      </c>
      <c r="E1" s="1" t="s">
        <v>9</v>
      </c>
      <c r="F1" s="1" t="s">
        <v>14</v>
      </c>
      <c r="G1" s="1" t="s">
        <v>25</v>
      </c>
      <c r="H1" s="1" t="s">
        <v>32</v>
      </c>
      <c r="I1" s="2" t="s">
        <v>105</v>
      </c>
      <c r="J1" s="1" t="s">
        <v>53</v>
      </c>
    </row>
    <row r="2" spans="1:10">
      <c r="A2" s="9" t="s">
        <v>164</v>
      </c>
      <c r="B2" s="13">
        <v>3.9899999999999998E-2</v>
      </c>
      <c r="C2" s="13"/>
      <c r="D2" s="13"/>
      <c r="E2" s="13"/>
      <c r="F2" s="13"/>
      <c r="G2" s="13"/>
      <c r="H2" s="13"/>
      <c r="I2" s="13"/>
      <c r="J2" s="13"/>
    </row>
    <row r="3" spans="1:10">
      <c r="A3" s="9" t="s">
        <v>165</v>
      </c>
      <c r="B3" s="13" t="s">
        <v>303</v>
      </c>
      <c r="C3" s="13"/>
      <c r="D3" s="13"/>
      <c r="E3" s="13"/>
      <c r="F3" s="13"/>
      <c r="G3" s="13"/>
      <c r="H3" s="13"/>
      <c r="I3" s="13"/>
      <c r="J3" s="13"/>
    </row>
    <row r="4" spans="1:10">
      <c r="A4" s="9" t="s">
        <v>166</v>
      </c>
      <c r="B4" s="13">
        <v>3.9600000000000003E-2</v>
      </c>
      <c r="C4" s="13"/>
      <c r="D4" s="13"/>
      <c r="E4" s="13"/>
      <c r="F4" s="13"/>
      <c r="G4" s="13"/>
      <c r="H4" s="13"/>
      <c r="I4" s="13"/>
      <c r="J4" s="13"/>
    </row>
    <row r="5" spans="1:10">
      <c r="A5" s="9" t="s">
        <v>167</v>
      </c>
      <c r="B5" s="13">
        <v>2.1700000000000001E-2</v>
      </c>
      <c r="C5" s="13"/>
      <c r="D5" s="13"/>
      <c r="E5" s="13"/>
      <c r="F5" s="13"/>
      <c r="G5" s="13"/>
      <c r="H5" s="13"/>
      <c r="I5" s="13"/>
      <c r="J5" s="13"/>
    </row>
    <row r="6" spans="1:10">
      <c r="A6" s="9" t="s">
        <v>169</v>
      </c>
      <c r="B6" s="13" t="s">
        <v>303</v>
      </c>
      <c r="C6" s="13"/>
      <c r="D6" s="13"/>
      <c r="E6" s="13"/>
      <c r="F6" s="13"/>
      <c r="G6" s="13"/>
      <c r="H6" s="13"/>
      <c r="I6" s="13"/>
      <c r="J6" s="13"/>
    </row>
    <row r="7" spans="1:10">
      <c r="A7" s="9" t="s">
        <v>170</v>
      </c>
      <c r="B7" s="13" t="s">
        <v>303</v>
      </c>
      <c r="C7" s="13"/>
      <c r="D7" s="13"/>
      <c r="E7" s="13"/>
      <c r="F7" s="13"/>
      <c r="G7" s="13"/>
      <c r="H7" s="13"/>
      <c r="I7" s="13"/>
      <c r="J7" s="13"/>
    </row>
    <row r="8" spans="1:10">
      <c r="A8" s="9" t="s">
        <v>171</v>
      </c>
      <c r="B8" s="13" t="s">
        <v>303</v>
      </c>
      <c r="C8" s="13"/>
      <c r="D8" s="13"/>
      <c r="E8" s="13"/>
      <c r="F8" s="13"/>
      <c r="G8" s="13"/>
      <c r="H8" s="13"/>
      <c r="I8" s="13"/>
      <c r="J8" s="13"/>
    </row>
    <row r="9" spans="1:10">
      <c r="A9" s="9" t="s">
        <v>172</v>
      </c>
      <c r="B9" s="13" t="s">
        <v>303</v>
      </c>
      <c r="C9" s="13"/>
      <c r="D9" s="13"/>
      <c r="E9" s="13"/>
      <c r="F9" s="13"/>
      <c r="G9" s="13"/>
      <c r="H9" s="13"/>
      <c r="I9" s="13"/>
      <c r="J9" s="13"/>
    </row>
    <row r="10" spans="1:10">
      <c r="A10" s="9" t="s">
        <v>173</v>
      </c>
      <c r="B10" s="13" t="s">
        <v>303</v>
      </c>
      <c r="C10" s="13"/>
      <c r="D10" s="13"/>
      <c r="E10" s="13"/>
      <c r="F10" s="13"/>
      <c r="G10" s="13"/>
      <c r="H10" s="13"/>
      <c r="I10" s="13"/>
      <c r="J10" s="13"/>
    </row>
    <row r="11" spans="1:10">
      <c r="A11" s="9" t="s">
        <v>176</v>
      </c>
      <c r="B11" s="13" t="s">
        <v>303</v>
      </c>
      <c r="C11" s="13"/>
      <c r="D11" s="13"/>
      <c r="E11" s="13"/>
      <c r="F11" s="13"/>
      <c r="G11" s="13"/>
      <c r="H11" s="13"/>
      <c r="I11" s="13"/>
      <c r="J11" s="13"/>
    </row>
    <row r="12" spans="1:10">
      <c r="A12" s="9" t="s">
        <v>177</v>
      </c>
      <c r="B12" s="13" t="s">
        <v>303</v>
      </c>
      <c r="C12" s="13"/>
      <c r="D12" s="13"/>
      <c r="E12" s="13"/>
      <c r="F12" s="13"/>
      <c r="G12" s="13"/>
      <c r="H12" s="13"/>
      <c r="I12" s="13"/>
      <c r="J12" s="13"/>
    </row>
    <row r="13" spans="1:10">
      <c r="A13" s="9" t="s">
        <v>178</v>
      </c>
      <c r="B13" s="13">
        <v>1.01E-2</v>
      </c>
      <c r="C13" s="13"/>
      <c r="D13" s="13"/>
      <c r="E13" s="13"/>
      <c r="F13" s="13"/>
      <c r="G13" s="13"/>
      <c r="H13" s="13"/>
      <c r="I13" s="13"/>
      <c r="J13" s="13"/>
    </row>
    <row r="14" spans="1:10">
      <c r="A14" s="9" t="s">
        <v>179</v>
      </c>
      <c r="B14" s="13">
        <v>2.3300000000000001E-2</v>
      </c>
      <c r="C14" s="13"/>
      <c r="D14" s="13"/>
      <c r="E14" s="13"/>
      <c r="F14" s="13"/>
      <c r="G14" s="13"/>
      <c r="H14" s="13"/>
      <c r="I14" s="13"/>
      <c r="J14" s="13"/>
    </row>
    <row r="15" spans="1:10">
      <c r="A15" s="9" t="s">
        <v>180</v>
      </c>
      <c r="B15" s="13">
        <v>5.79E-2</v>
      </c>
      <c r="C15" s="13"/>
      <c r="D15" s="13"/>
      <c r="E15" s="13"/>
      <c r="F15" s="13"/>
      <c r="G15" s="13"/>
      <c r="H15" s="13"/>
      <c r="I15" s="13"/>
      <c r="J15" s="13"/>
    </row>
    <row r="16" spans="1:10">
      <c r="A16" s="9" t="s">
        <v>181</v>
      </c>
      <c r="B16" s="13">
        <v>5.9499999999999997E-2</v>
      </c>
      <c r="C16" s="13"/>
      <c r="D16" s="13"/>
      <c r="E16" s="13"/>
      <c r="F16" s="13"/>
      <c r="G16" s="13"/>
      <c r="H16" s="13"/>
      <c r="I16" s="13"/>
      <c r="J16" s="13"/>
    </row>
    <row r="17" spans="1:10">
      <c r="A17" s="9" t="s">
        <v>182</v>
      </c>
      <c r="B17" s="13" t="s">
        <v>303</v>
      </c>
      <c r="C17" s="13"/>
      <c r="D17" s="13"/>
      <c r="E17" s="13"/>
      <c r="F17" s="13"/>
      <c r="G17" s="13"/>
      <c r="H17" s="13"/>
      <c r="I17" s="13"/>
      <c r="J17" s="13"/>
    </row>
    <row r="18" spans="1:10">
      <c r="A18" s="9" t="s">
        <v>183</v>
      </c>
      <c r="B18" s="13" t="s">
        <v>303</v>
      </c>
      <c r="C18" s="13"/>
      <c r="D18" s="13"/>
      <c r="E18" s="13"/>
      <c r="F18" s="13"/>
      <c r="G18" s="13"/>
      <c r="H18" s="13"/>
      <c r="I18" s="13"/>
      <c r="J18" s="13"/>
    </row>
    <row r="19" spans="1:10">
      <c r="A19" s="9" t="s">
        <v>184</v>
      </c>
      <c r="B19" s="13">
        <v>1.84E-2</v>
      </c>
      <c r="C19" s="13"/>
      <c r="D19" s="13"/>
      <c r="E19" s="13"/>
      <c r="F19" s="13"/>
      <c r="G19" s="13"/>
      <c r="H19" s="13"/>
      <c r="I19" s="13"/>
      <c r="J19" s="13"/>
    </row>
    <row r="20" spans="1:10" ht="15.75" customHeight="1">
      <c r="A20" s="9" t="s">
        <v>185</v>
      </c>
      <c r="B20" s="13">
        <v>2.92E-2</v>
      </c>
      <c r="C20" s="13"/>
      <c r="D20" s="13"/>
      <c r="E20" s="12">
        <v>0</v>
      </c>
      <c r="F20" s="13" t="e">
        <f ca="1">VLOOKUP("stable",'COFA - live'!$A$1:$C$102,3,FALSE)</f>
        <v>#N/A</v>
      </c>
      <c r="G20" s="13"/>
      <c r="H20" s="13" t="e">
        <f ca="1">VLOOKUP("stable",'COFA - live'!$A$1:$C$102,3,FALSE)</f>
        <v>#N/A</v>
      </c>
      <c r="I20" s="13" t="e">
        <f ca="1">VLOOKUP("stable",'COFA - live'!$A$1:$C$102,3,FALSE)</f>
        <v>#N/A</v>
      </c>
      <c r="J20" s="13">
        <v>0</v>
      </c>
    </row>
    <row r="21" spans="1:10" ht="15.75" customHeight="1">
      <c r="A21" s="9" t="s">
        <v>186</v>
      </c>
      <c r="B21" s="13">
        <v>0</v>
      </c>
      <c r="C21" s="13"/>
      <c r="D21" s="13"/>
      <c r="E21" s="13"/>
      <c r="F21" s="13"/>
      <c r="G21" s="13"/>
      <c r="H21" s="13"/>
      <c r="I21" s="13"/>
      <c r="J21" s="13"/>
    </row>
    <row r="22" spans="1:10" ht="15.75" customHeight="1">
      <c r="A22" s="9" t="s">
        <v>187</v>
      </c>
      <c r="B22" s="13" t="s">
        <v>303</v>
      </c>
      <c r="C22" s="13"/>
      <c r="D22" s="13"/>
      <c r="E22" s="13"/>
      <c r="F22" s="13"/>
      <c r="G22" s="13"/>
      <c r="H22" s="13"/>
      <c r="I22" s="13"/>
      <c r="J22" s="13"/>
    </row>
    <row r="23" spans="1:10" ht="15.75" customHeight="1">
      <c r="A23" s="9" t="s">
        <v>151</v>
      </c>
      <c r="B23" s="13">
        <v>3.8899999999999997E-2</v>
      </c>
      <c r="C23" s="12"/>
      <c r="D23" s="12">
        <v>0</v>
      </c>
      <c r="E23" s="13"/>
      <c r="F23" s="13"/>
      <c r="G23" s="13">
        <v>0</v>
      </c>
      <c r="H23" s="13"/>
      <c r="I23" s="13"/>
      <c r="J23" s="13"/>
    </row>
    <row r="24" spans="1:10" ht="15.75" customHeight="1">
      <c r="A24" s="9" t="s">
        <v>188</v>
      </c>
      <c r="B24" s="13">
        <v>4.4900000000000002E-2</v>
      </c>
      <c r="C24" s="13"/>
      <c r="D24" s="13"/>
      <c r="E24" s="13"/>
      <c r="F24" s="13"/>
      <c r="G24" s="13"/>
      <c r="H24" s="13"/>
      <c r="I24" s="13"/>
      <c r="J24" s="13"/>
    </row>
    <row r="25" spans="1:10" ht="15.75" customHeight="1">
      <c r="A25" s="9" t="s">
        <v>190</v>
      </c>
      <c r="B25" s="13" t="s">
        <v>303</v>
      </c>
      <c r="C25" s="13"/>
      <c r="D25" s="13"/>
      <c r="E25" s="13"/>
      <c r="F25" s="13"/>
      <c r="G25" s="13"/>
      <c r="H25" s="13"/>
      <c r="I25" s="13"/>
      <c r="J25" s="13"/>
    </row>
    <row r="26" spans="1:10" ht="15.75" customHeight="1">
      <c r="A26" s="9" t="s">
        <v>191</v>
      </c>
      <c r="B26" s="13" t="s">
        <v>303</v>
      </c>
      <c r="C26" s="13"/>
      <c r="D26" s="13"/>
      <c r="E26" s="13"/>
      <c r="F26" s="13"/>
      <c r="G26" s="13"/>
      <c r="H26" s="13"/>
      <c r="I26" s="13"/>
      <c r="J26" s="13"/>
    </row>
    <row r="27" spans="1:10" ht="15.75" customHeight="1">
      <c r="A27" s="9" t="s">
        <v>192</v>
      </c>
      <c r="B27" s="13">
        <v>4.1799999999999997E-2</v>
      </c>
      <c r="C27" s="13"/>
      <c r="D27" s="13"/>
      <c r="E27" s="13"/>
      <c r="F27" s="13"/>
      <c r="G27" s="13"/>
      <c r="H27" s="13"/>
      <c r="I27" s="13"/>
      <c r="J27" s="13"/>
    </row>
    <row r="28" spans="1:10" ht="15.75" customHeight="1">
      <c r="A28" s="9" t="s">
        <v>193</v>
      </c>
      <c r="B28" s="13" t="s">
        <v>303</v>
      </c>
      <c r="C28" s="13"/>
      <c r="D28" s="13"/>
      <c r="E28" s="13"/>
      <c r="F28" s="13"/>
      <c r="G28" s="13"/>
      <c r="H28" s="13"/>
      <c r="I28" s="13"/>
      <c r="J28" s="13"/>
    </row>
    <row r="29" spans="1:10" ht="15.75" customHeight="1">
      <c r="A29" s="9" t="s">
        <v>194</v>
      </c>
      <c r="B29" s="13">
        <v>7.5499999999999998E-2</v>
      </c>
      <c r="C29" s="13"/>
      <c r="D29" s="13"/>
      <c r="E29" s="13"/>
      <c r="F29" s="13"/>
      <c r="G29" s="13"/>
      <c r="H29" s="13"/>
      <c r="I29" s="13"/>
      <c r="J29" s="13"/>
    </row>
    <row r="30" spans="1:10" ht="15.75" customHeight="1">
      <c r="A30" s="9" t="s">
        <v>196</v>
      </c>
      <c r="B30" s="13">
        <v>4.7699999999999999E-2</v>
      </c>
      <c r="C30" s="13"/>
      <c r="D30" s="13"/>
      <c r="E30" s="13"/>
      <c r="F30" s="13"/>
      <c r="G30" s="13"/>
      <c r="H30" s="13"/>
      <c r="I30" s="13"/>
      <c r="J30" s="13"/>
    </row>
    <row r="31" spans="1:10" ht="15.75" customHeight="1">
      <c r="A31" s="9" t="s">
        <v>197</v>
      </c>
      <c r="B31" s="13">
        <v>2.9499999999999998E-2</v>
      </c>
      <c r="C31" s="13"/>
      <c r="D31" s="13"/>
      <c r="E31" s="13"/>
      <c r="F31" s="13"/>
      <c r="G31" s="13"/>
      <c r="H31" s="13"/>
      <c r="I31" s="13"/>
      <c r="J31" s="13"/>
    </row>
    <row r="32" spans="1:10" ht="15.75" customHeight="1">
      <c r="A32" s="9" t="s">
        <v>198</v>
      </c>
      <c r="B32" s="13">
        <v>3.7900000000000003E-2</v>
      </c>
      <c r="C32" s="13"/>
      <c r="D32" s="13"/>
      <c r="E32" s="12">
        <v>0</v>
      </c>
      <c r="F32" s="13" t="e">
        <f ca="1">VLOOKUP("stable",'COFA - live'!$A$1:$C$102,3,FALSE)</f>
        <v>#N/A</v>
      </c>
      <c r="G32" s="13"/>
      <c r="H32" s="13" t="e">
        <f ca="1">VLOOKUP("stable",'COFA - live'!$A$1:$C$102,3,FALSE)</f>
        <v>#N/A</v>
      </c>
      <c r="I32" s="13" t="e">
        <f ca="1">VLOOKUP("stable",'COFA - live'!$A$1:$C$102,3,FALSE)</f>
        <v>#N/A</v>
      </c>
      <c r="J32" s="13">
        <v>0</v>
      </c>
    </row>
    <row r="33" spans="1:10" ht="15.75" customHeight="1">
      <c r="A33" s="9" t="s">
        <v>199</v>
      </c>
      <c r="B33" s="13" t="s">
        <v>303</v>
      </c>
      <c r="C33" s="13"/>
      <c r="D33" s="13"/>
      <c r="E33" s="13"/>
      <c r="F33" s="13"/>
      <c r="G33" s="13"/>
      <c r="H33" s="13"/>
      <c r="I33" s="13"/>
      <c r="J33" s="13"/>
    </row>
    <row r="34" spans="1:10" ht="15.75" customHeight="1">
      <c r="A34" s="9" t="s">
        <v>200</v>
      </c>
      <c r="B34" s="13" t="s">
        <v>303</v>
      </c>
      <c r="C34" s="13"/>
      <c r="D34" s="13"/>
      <c r="E34" s="13"/>
      <c r="F34" s="13"/>
      <c r="G34" s="13"/>
      <c r="H34" s="13"/>
      <c r="I34" s="13"/>
      <c r="J34" s="13"/>
    </row>
    <row r="35" spans="1:10" ht="15.75" customHeight="1">
      <c r="A35" s="9" t="s">
        <v>202</v>
      </c>
      <c r="B35" s="13" t="s">
        <v>303</v>
      </c>
      <c r="C35" s="13"/>
      <c r="D35" s="13"/>
      <c r="E35" s="13"/>
      <c r="F35" s="13"/>
      <c r="G35" s="13"/>
      <c r="H35" s="13"/>
      <c r="I35" s="13"/>
      <c r="J35" s="13"/>
    </row>
    <row r="36" spans="1:10" ht="15.75" customHeight="1">
      <c r="A36" s="9" t="s">
        <v>203</v>
      </c>
      <c r="B36" s="13" t="s">
        <v>303</v>
      </c>
      <c r="C36" s="13"/>
      <c r="D36" s="13"/>
      <c r="E36" s="13"/>
      <c r="F36" s="13"/>
      <c r="G36" s="13"/>
      <c r="H36" s="13"/>
      <c r="I36" s="13"/>
      <c r="J36" s="13"/>
    </row>
    <row r="37" spans="1:10" ht="15.75" customHeight="1">
      <c r="A37" s="9" t="s">
        <v>204</v>
      </c>
      <c r="B37" s="13">
        <v>4.7999999999999996E-3</v>
      </c>
      <c r="C37" s="13"/>
      <c r="D37" s="13"/>
      <c r="E37" s="13"/>
      <c r="F37" s="13"/>
      <c r="G37" s="13"/>
      <c r="H37" s="13"/>
      <c r="I37" s="13"/>
      <c r="J37" s="13"/>
    </row>
    <row r="38" spans="1:10" ht="15.75" customHeight="1">
      <c r="A38" s="9" t="s">
        <v>205</v>
      </c>
      <c r="B38" s="13" t="s">
        <v>303</v>
      </c>
      <c r="C38" s="13"/>
      <c r="D38" s="13"/>
      <c r="E38" s="13"/>
      <c r="F38" s="13"/>
      <c r="G38" s="13"/>
      <c r="H38" s="13"/>
      <c r="I38" s="13"/>
      <c r="J38" s="13"/>
    </row>
    <row r="39" spans="1:10" ht="15.75" customHeight="1">
      <c r="A39" s="9" t="s">
        <v>206</v>
      </c>
      <c r="B39" s="13">
        <v>2.53E-2</v>
      </c>
      <c r="C39" s="13"/>
      <c r="D39" s="13"/>
      <c r="E39" s="13"/>
      <c r="F39" s="13"/>
      <c r="G39" s="13"/>
      <c r="H39" s="13"/>
      <c r="I39" s="13"/>
      <c r="J39" s="13"/>
    </row>
    <row r="40" spans="1:10" ht="15.75" customHeight="1">
      <c r="A40" s="9" t="s">
        <v>207</v>
      </c>
      <c r="B40" s="13">
        <v>0</v>
      </c>
      <c r="C40" s="13"/>
      <c r="D40" s="13"/>
      <c r="E40" s="13"/>
      <c r="F40" s="13"/>
      <c r="G40" s="13"/>
      <c r="H40" s="13"/>
      <c r="I40" s="13"/>
      <c r="J40" s="13"/>
    </row>
    <row r="41" spans="1:10" ht="15.75" customHeight="1">
      <c r="A41" s="9" t="s">
        <v>208</v>
      </c>
      <c r="B41" s="13" t="s">
        <v>303</v>
      </c>
      <c r="C41" s="13"/>
      <c r="D41" s="13"/>
      <c r="E41" s="13"/>
      <c r="F41" s="13"/>
      <c r="G41" s="13"/>
      <c r="H41" s="13"/>
      <c r="I41" s="13"/>
      <c r="J41" s="13"/>
    </row>
    <row r="42" spans="1:10" ht="15.75" customHeight="1">
      <c r="A42" s="9" t="s">
        <v>209</v>
      </c>
      <c r="B42" s="13">
        <v>2.9100000000000001E-2</v>
      </c>
      <c r="C42" s="13"/>
      <c r="D42" s="13"/>
      <c r="E42" s="13"/>
      <c r="F42" s="13"/>
      <c r="G42" s="13"/>
      <c r="H42" s="13"/>
      <c r="I42" s="13"/>
      <c r="J42" s="13"/>
    </row>
    <row r="43" spans="1:10" ht="15.75" customHeight="1">
      <c r="A43" s="9" t="s">
        <v>210</v>
      </c>
      <c r="B43" s="13">
        <v>4.8899999999999999E-2</v>
      </c>
      <c r="C43" s="13"/>
      <c r="D43" s="13"/>
      <c r="E43" s="13"/>
      <c r="F43" s="13"/>
      <c r="G43" s="13"/>
      <c r="H43" s="13"/>
      <c r="I43" s="13"/>
      <c r="J43" s="13"/>
    </row>
    <row r="44" spans="1:10" ht="15.75" customHeight="1">
      <c r="A44" s="9" t="s">
        <v>211</v>
      </c>
      <c r="B44" s="13" t="s">
        <v>303</v>
      </c>
      <c r="C44" s="13"/>
      <c r="D44" s="13"/>
      <c r="E44" s="13"/>
      <c r="F44" s="13"/>
      <c r="G44" s="13"/>
      <c r="H44" s="13"/>
      <c r="I44" s="13"/>
      <c r="J44" s="13"/>
    </row>
    <row r="45" spans="1:10" ht="15.75" customHeight="1">
      <c r="A45" s="9" t="s">
        <v>212</v>
      </c>
      <c r="B45" s="13" t="s">
        <v>303</v>
      </c>
      <c r="C45" s="13"/>
      <c r="D45" s="13"/>
      <c r="E45" s="13"/>
      <c r="F45" s="13"/>
      <c r="G45" s="13"/>
      <c r="H45" s="13"/>
      <c r="I45" s="13"/>
      <c r="J45" s="13"/>
    </row>
    <row r="46" spans="1:10" ht="15.75" customHeight="1">
      <c r="A46" s="9" t="s">
        <v>213</v>
      </c>
      <c r="B46" s="13">
        <v>4.4000000000000003E-3</v>
      </c>
      <c r="C46" s="13"/>
      <c r="D46" s="13"/>
      <c r="E46" s="13"/>
      <c r="F46" s="13"/>
      <c r="G46" s="13"/>
      <c r="H46" s="13"/>
      <c r="I46" s="13"/>
      <c r="J46" s="13"/>
    </row>
    <row r="47" spans="1:10" ht="15.75" customHeight="1">
      <c r="A47" s="9" t="s">
        <v>214</v>
      </c>
      <c r="B47" s="13">
        <v>8.2199999999999995E-2</v>
      </c>
      <c r="C47" s="13"/>
      <c r="D47" s="13"/>
      <c r="E47" s="13"/>
      <c r="F47" s="13"/>
      <c r="G47" s="13"/>
      <c r="H47" s="13"/>
      <c r="I47" s="13"/>
      <c r="J47" s="13"/>
    </row>
    <row r="48" spans="1:10" ht="15.75" customHeight="1">
      <c r="A48" s="9" t="s">
        <v>215</v>
      </c>
      <c r="B48" s="13" t="s">
        <v>303</v>
      </c>
      <c r="C48" s="13"/>
      <c r="D48" s="13"/>
      <c r="E48" s="13"/>
      <c r="F48" s="13"/>
      <c r="G48" s="13"/>
      <c r="H48" s="13"/>
      <c r="I48" s="13"/>
      <c r="J48" s="13"/>
    </row>
    <row r="49" spans="1:10" ht="15.75" customHeight="1">
      <c r="A49" s="9" t="s">
        <v>216</v>
      </c>
      <c r="B49" s="13" t="s">
        <v>303</v>
      </c>
      <c r="C49" s="13"/>
      <c r="D49" s="13"/>
      <c r="E49" s="13"/>
      <c r="F49" s="13"/>
      <c r="G49" s="13"/>
      <c r="H49" s="13"/>
      <c r="I49" s="13"/>
      <c r="J49" s="13"/>
    </row>
    <row r="50" spans="1:10" ht="15.75" customHeight="1">
      <c r="A50" s="9" t="s">
        <v>217</v>
      </c>
      <c r="B50" s="13">
        <v>4.7000000000000002E-3</v>
      </c>
      <c r="C50" s="13"/>
      <c r="D50" s="13"/>
      <c r="E50" s="13"/>
      <c r="F50" s="13"/>
      <c r="G50" s="13"/>
      <c r="H50" s="13"/>
      <c r="I50" s="13"/>
      <c r="J50" s="13"/>
    </row>
    <row r="51" spans="1:10" ht="15.75" customHeight="1">
      <c r="A51" s="9" t="s">
        <v>218</v>
      </c>
      <c r="B51" s="13" t="s">
        <v>303</v>
      </c>
      <c r="C51" s="13"/>
      <c r="D51" s="13"/>
      <c r="E51" s="13"/>
      <c r="F51" s="13"/>
      <c r="G51" s="13"/>
      <c r="H51" s="13"/>
      <c r="I51" s="13"/>
      <c r="J51" s="13"/>
    </row>
    <row r="52" spans="1:10" ht="15.75" customHeight="1">
      <c r="A52" s="9" t="s">
        <v>219</v>
      </c>
      <c r="B52" s="13">
        <v>0</v>
      </c>
      <c r="C52" s="13"/>
      <c r="D52" s="13"/>
      <c r="E52" s="13"/>
      <c r="F52" s="13"/>
      <c r="G52" s="13"/>
      <c r="H52" s="13"/>
      <c r="I52" s="13"/>
      <c r="J52" s="13"/>
    </row>
    <row r="53" spans="1:10" ht="15.75" customHeight="1">
      <c r="A53" s="9" t="s">
        <v>220</v>
      </c>
      <c r="B53" s="13" t="s">
        <v>303</v>
      </c>
      <c r="C53" s="13"/>
      <c r="D53" s="13"/>
      <c r="E53" s="13"/>
      <c r="F53" s="13"/>
      <c r="G53" s="13"/>
      <c r="H53" s="13"/>
      <c r="I53" s="13"/>
      <c r="J53" s="13"/>
    </row>
    <row r="54" spans="1:10" ht="15.75" customHeight="1">
      <c r="A54" s="9" t="s">
        <v>221</v>
      </c>
      <c r="B54" s="13">
        <v>5.1999999999999998E-2</v>
      </c>
      <c r="C54" s="13"/>
      <c r="D54" s="13"/>
      <c r="E54" s="13"/>
      <c r="F54" s="13"/>
      <c r="G54" s="13"/>
      <c r="H54" s="13"/>
      <c r="I54" s="13"/>
      <c r="J54" s="13"/>
    </row>
    <row r="55" spans="1:10" ht="15.75" customHeight="1">
      <c r="A55" s="9" t="s">
        <v>223</v>
      </c>
      <c r="B55" s="13" t="s">
        <v>303</v>
      </c>
      <c r="C55" s="13"/>
      <c r="D55" s="13"/>
      <c r="E55" s="13"/>
      <c r="F55" s="13"/>
      <c r="G55" s="13"/>
      <c r="H55" s="13"/>
      <c r="I55" s="13"/>
      <c r="J55" s="13"/>
    </row>
    <row r="56" spans="1:10" ht="15.75" customHeight="1">
      <c r="A56" s="9" t="s">
        <v>224</v>
      </c>
      <c r="B56" s="13" t="s">
        <v>303</v>
      </c>
      <c r="C56" s="13"/>
      <c r="D56" s="13"/>
      <c r="E56" s="13"/>
      <c r="F56" s="13"/>
      <c r="G56" s="13"/>
      <c r="H56" s="13"/>
      <c r="I56" s="13"/>
      <c r="J56" s="13"/>
    </row>
    <row r="57" spans="1:10" ht="15.75" customHeight="1">
      <c r="A57" s="9" t="s">
        <v>226</v>
      </c>
      <c r="B57" s="13" t="s">
        <v>303</v>
      </c>
      <c r="C57" s="13"/>
      <c r="D57" s="13"/>
      <c r="E57" s="13"/>
      <c r="F57" s="13"/>
      <c r="G57" s="13"/>
      <c r="H57" s="13"/>
      <c r="I57" s="13"/>
      <c r="J57" s="13"/>
    </row>
    <row r="58" spans="1:10" ht="15.75" customHeight="1">
      <c r="A58" s="9" t="s">
        <v>228</v>
      </c>
      <c r="B58" s="13" t="s">
        <v>303</v>
      </c>
      <c r="C58" s="13"/>
      <c r="D58" s="13"/>
      <c r="E58" s="13"/>
      <c r="F58" s="13"/>
      <c r="G58" s="13"/>
      <c r="H58" s="13"/>
      <c r="I58" s="13"/>
      <c r="J58" s="13"/>
    </row>
    <row r="59" spans="1:10" ht="15.75" customHeight="1">
      <c r="A59" s="9" t="s">
        <v>229</v>
      </c>
      <c r="B59" s="13">
        <v>0</v>
      </c>
      <c r="C59" s="13"/>
      <c r="D59" s="13"/>
      <c r="E59" s="13"/>
      <c r="F59" s="13"/>
      <c r="G59" s="13"/>
      <c r="H59" s="13"/>
      <c r="I59" s="13"/>
      <c r="J59" s="13"/>
    </row>
    <row r="60" spans="1:10" ht="15.75" customHeight="1">
      <c r="A60" s="9" t="s">
        <v>233</v>
      </c>
      <c r="B60" s="13">
        <v>0.1333</v>
      </c>
      <c r="C60" s="13"/>
      <c r="D60" s="13"/>
      <c r="E60" s="13"/>
      <c r="F60" s="13"/>
      <c r="G60" s="13"/>
      <c r="H60" s="13"/>
      <c r="I60" s="13"/>
      <c r="J60" s="13"/>
    </row>
    <row r="61" spans="1:10" ht="15.75" customHeight="1">
      <c r="A61" s="9" t="s">
        <v>234</v>
      </c>
      <c r="B61" s="13" t="s">
        <v>303</v>
      </c>
      <c r="C61" s="13"/>
      <c r="D61" s="13"/>
      <c r="E61" s="13"/>
      <c r="F61" s="13"/>
      <c r="G61" s="13"/>
      <c r="H61" s="13"/>
      <c r="I61" s="13"/>
      <c r="J61" s="13"/>
    </row>
    <row r="62" spans="1:10" ht="15.75" customHeight="1">
      <c r="A62" s="9" t="s">
        <v>235</v>
      </c>
      <c r="B62" s="13" t="s">
        <v>303</v>
      </c>
      <c r="C62" s="13"/>
      <c r="D62" s="13"/>
      <c r="E62" s="13"/>
      <c r="F62" s="13"/>
      <c r="G62" s="13"/>
      <c r="H62" s="13"/>
      <c r="I62" s="13"/>
      <c r="J62" s="13"/>
    </row>
    <row r="63" spans="1:10" ht="15.75" customHeight="1">
      <c r="A63" s="9" t="s">
        <v>236</v>
      </c>
      <c r="B63" s="13">
        <v>3.5700000000000003E-2</v>
      </c>
      <c r="C63" s="13"/>
      <c r="D63" s="13"/>
      <c r="E63" s="13"/>
      <c r="F63" s="13"/>
      <c r="G63" s="13"/>
      <c r="H63" s="13"/>
      <c r="I63" s="13"/>
      <c r="J63" s="13"/>
    </row>
    <row r="64" spans="1:10" ht="15.75" customHeight="1">
      <c r="A64" s="9" t="s">
        <v>237</v>
      </c>
      <c r="B64" s="13" t="s">
        <v>303</v>
      </c>
      <c r="C64" s="13"/>
      <c r="D64" s="13"/>
      <c r="E64" s="13"/>
      <c r="F64" s="13"/>
      <c r="G64" s="13"/>
      <c r="H64" s="13"/>
      <c r="I64" s="13"/>
      <c r="J64" s="13"/>
    </row>
    <row r="65" spans="1:10" ht="15.75" customHeight="1">
      <c r="A65" s="9" t="s">
        <v>238</v>
      </c>
      <c r="B65" s="13" t="s">
        <v>303</v>
      </c>
      <c r="C65" s="13"/>
      <c r="D65" s="13"/>
      <c r="E65" s="13"/>
      <c r="F65" s="13"/>
      <c r="G65" s="13"/>
      <c r="H65" s="13"/>
      <c r="I65" s="13"/>
      <c r="J65" s="13"/>
    </row>
    <row r="66" spans="1:10" ht="15.75" customHeight="1">
      <c r="A66" s="9" t="s">
        <v>239</v>
      </c>
      <c r="B66" s="13" t="s">
        <v>303</v>
      </c>
      <c r="C66" s="13"/>
      <c r="D66" s="13"/>
      <c r="E66" s="13"/>
      <c r="F66" s="13"/>
      <c r="G66" s="13"/>
      <c r="H66" s="13"/>
      <c r="I66" s="13"/>
      <c r="J66" s="13"/>
    </row>
    <row r="67" spans="1:10" ht="15.75" customHeight="1">
      <c r="A67" s="9" t="s">
        <v>240</v>
      </c>
      <c r="B67" s="13" t="s">
        <v>303</v>
      </c>
      <c r="C67" s="13"/>
      <c r="D67" s="13"/>
      <c r="E67" s="13"/>
      <c r="F67" s="13"/>
      <c r="G67" s="13"/>
      <c r="H67" s="13"/>
      <c r="I67" s="13"/>
      <c r="J67" s="13"/>
    </row>
    <row r="68" spans="1:10" ht="15.75" customHeight="1">
      <c r="A68" s="9" t="s">
        <v>242</v>
      </c>
      <c r="B68" s="13" t="s">
        <v>303</v>
      </c>
      <c r="C68" s="13"/>
      <c r="D68" s="13"/>
      <c r="E68" s="13"/>
      <c r="F68" s="13"/>
      <c r="G68" s="13"/>
      <c r="H68" s="13"/>
      <c r="I68" s="13"/>
      <c r="J68" s="13"/>
    </row>
    <row r="69" spans="1:10" ht="15.75" customHeight="1">
      <c r="A69" s="9" t="s">
        <v>243</v>
      </c>
      <c r="B69" s="13">
        <v>9.4000000000000004E-3</v>
      </c>
      <c r="C69" s="13"/>
      <c r="D69" s="13"/>
      <c r="E69" s="13"/>
      <c r="F69" s="13"/>
      <c r="G69" s="13"/>
      <c r="H69" s="13"/>
      <c r="I69" s="13"/>
      <c r="J69" s="13"/>
    </row>
    <row r="70" spans="1:10" ht="15.75" customHeight="1">
      <c r="A70" s="9" t="s">
        <v>244</v>
      </c>
      <c r="B70" s="13">
        <v>2.29E-2</v>
      </c>
      <c r="C70" s="13"/>
      <c r="D70" s="13"/>
      <c r="E70" s="13"/>
      <c r="F70" s="13"/>
      <c r="G70" s="13"/>
      <c r="H70" s="13"/>
      <c r="I70" s="13"/>
      <c r="J70" s="13"/>
    </row>
    <row r="71" spans="1:10" ht="15.75" customHeight="1">
      <c r="A71" s="9" t="s">
        <v>245</v>
      </c>
      <c r="B71" s="13" t="s">
        <v>303</v>
      </c>
      <c r="C71" s="13"/>
      <c r="D71" s="13"/>
      <c r="E71" s="13"/>
      <c r="F71" s="13"/>
      <c r="G71" s="13"/>
      <c r="H71" s="13"/>
      <c r="I71" s="13"/>
      <c r="J71" s="13"/>
    </row>
    <row r="72" spans="1:10" ht="15.75" customHeight="1">
      <c r="A72" s="9" t="s">
        <v>246</v>
      </c>
      <c r="B72" s="13" t="s">
        <v>303</v>
      </c>
      <c r="C72" s="13"/>
      <c r="D72" s="13"/>
      <c r="E72" s="13"/>
      <c r="F72" s="13"/>
      <c r="G72" s="13"/>
      <c r="H72" s="13"/>
      <c r="I72" s="13"/>
      <c r="J72" s="13"/>
    </row>
    <row r="73" spans="1:10" ht="15.75" customHeight="1">
      <c r="A73" s="9" t="s">
        <v>247</v>
      </c>
      <c r="B73" s="13" t="s">
        <v>303</v>
      </c>
      <c r="C73" s="13"/>
      <c r="D73" s="13"/>
      <c r="E73" s="13"/>
      <c r="F73" s="13"/>
      <c r="G73" s="13"/>
      <c r="H73" s="13"/>
      <c r="I73" s="13"/>
      <c r="J73" s="13"/>
    </row>
    <row r="74" spans="1:10" ht="15.75" customHeight="1">
      <c r="A74" s="9" t="s">
        <v>248</v>
      </c>
      <c r="B74" s="13" t="s">
        <v>303</v>
      </c>
      <c r="C74" s="13"/>
      <c r="D74" s="13"/>
      <c r="E74" s="13"/>
      <c r="F74" s="13"/>
      <c r="G74" s="13"/>
      <c r="H74" s="13"/>
      <c r="I74" s="13"/>
      <c r="J74" s="13"/>
    </row>
    <row r="75" spans="1:10" ht="15.75" customHeight="1">
      <c r="A75" s="9" t="s">
        <v>249</v>
      </c>
      <c r="B75" s="13" t="s">
        <v>303</v>
      </c>
      <c r="C75" s="13"/>
      <c r="D75" s="13"/>
      <c r="E75" s="13"/>
      <c r="F75" s="13"/>
      <c r="G75" s="13"/>
      <c r="H75" s="13"/>
      <c r="I75" s="13"/>
      <c r="J75" s="13"/>
    </row>
    <row r="76" spans="1:10" ht="15.75" customHeight="1">
      <c r="A76" s="9" t="s">
        <v>250</v>
      </c>
      <c r="B76" s="13">
        <v>5.5399999999999998E-2</v>
      </c>
      <c r="C76" s="13"/>
      <c r="D76" s="13"/>
      <c r="E76" s="13"/>
      <c r="F76" s="13"/>
      <c r="G76" s="13"/>
      <c r="H76" s="13"/>
      <c r="I76" s="13"/>
      <c r="J76" s="13"/>
    </row>
    <row r="77" spans="1:10" ht="15.75" customHeight="1">
      <c r="A77" s="9" t="s">
        <v>251</v>
      </c>
      <c r="B77" s="13">
        <v>9.1999999999999998E-3</v>
      </c>
      <c r="C77" s="13"/>
      <c r="D77" s="13"/>
      <c r="E77" s="13"/>
      <c r="F77" s="13"/>
      <c r="G77" s="13"/>
      <c r="H77" s="13"/>
      <c r="I77" s="13"/>
      <c r="J77" s="13"/>
    </row>
    <row r="78" spans="1:10" ht="15.75" customHeight="1">
      <c r="A78" s="9" t="s">
        <v>252</v>
      </c>
      <c r="B78" s="13">
        <v>1.6299999999999999E-2</v>
      </c>
      <c r="C78" s="13"/>
      <c r="D78" s="13"/>
      <c r="E78" s="13"/>
      <c r="F78" s="13"/>
      <c r="G78" s="13"/>
      <c r="H78" s="13"/>
      <c r="I78" s="13"/>
      <c r="J78" s="13"/>
    </row>
    <row r="79" spans="1:10" ht="15.75" customHeight="1">
      <c r="A79" s="9" t="s">
        <v>253</v>
      </c>
      <c r="B79" s="13" t="s">
        <v>303</v>
      </c>
      <c r="C79" s="13"/>
      <c r="D79" s="13"/>
      <c r="E79" s="13"/>
      <c r="F79" s="13"/>
      <c r="G79" s="13"/>
      <c r="H79" s="13"/>
      <c r="I79" s="13"/>
      <c r="J79" s="13"/>
    </row>
    <row r="80" spans="1:10" ht="15.75" customHeight="1">
      <c r="A80" s="9" t="s">
        <v>254</v>
      </c>
      <c r="B80" s="13">
        <v>1.6199999999999999E-2</v>
      </c>
      <c r="C80" s="13"/>
      <c r="D80" s="13"/>
      <c r="E80" s="13"/>
      <c r="F80" s="13"/>
      <c r="G80" s="13"/>
      <c r="H80" s="13"/>
      <c r="I80" s="13"/>
      <c r="J80" s="13"/>
    </row>
    <row r="81" spans="1:10" ht="15.75" customHeight="1">
      <c r="A81" s="9" t="s">
        <v>255</v>
      </c>
      <c r="B81" s="13">
        <v>1.7100000000000001E-2</v>
      </c>
      <c r="C81" s="13"/>
      <c r="D81" s="13"/>
      <c r="E81" s="13"/>
      <c r="F81" s="13"/>
      <c r="G81" s="13"/>
      <c r="H81" s="13"/>
      <c r="I81" s="13"/>
      <c r="J81" s="13"/>
    </row>
    <row r="82" spans="1:10" ht="15.75" customHeight="1">
      <c r="A82" s="9" t="s">
        <v>256</v>
      </c>
      <c r="B82" s="13" t="s">
        <v>303</v>
      </c>
      <c r="C82" s="13"/>
      <c r="D82" s="13"/>
      <c r="E82" s="13"/>
      <c r="F82" s="13"/>
      <c r="G82" s="13"/>
      <c r="H82" s="13"/>
      <c r="I82" s="13"/>
      <c r="J82" s="13"/>
    </row>
    <row r="83" spans="1:10" ht="15.75" customHeight="1">
      <c r="A83" s="7" t="s">
        <v>277</v>
      </c>
      <c r="B83" s="12">
        <v>0.13</v>
      </c>
    </row>
    <row r="84" spans="1:10" ht="15.75" customHeight="1">
      <c r="A84" s="7" t="s">
        <v>278</v>
      </c>
      <c r="B84" s="13" t="s">
        <v>303</v>
      </c>
    </row>
    <row r="85" spans="1:10" ht="15.75" customHeight="1">
      <c r="B85" s="13" t="s">
        <v>303</v>
      </c>
    </row>
    <row r="86" spans="1:10" ht="15.75" customHeight="1">
      <c r="B86" s="13" t="s">
        <v>303</v>
      </c>
    </row>
    <row r="87" spans="1:10" ht="15.75" customHeight="1">
      <c r="A87" s="7" t="s">
        <v>257</v>
      </c>
      <c r="B87" s="13" t="s">
        <v>303</v>
      </c>
      <c r="D87" s="9">
        <f t="shared" ref="D87:J87" si="0">COUNT(D2:D78)</f>
        <v>1</v>
      </c>
      <c r="E87" s="9">
        <f t="shared" si="0"/>
        <v>2</v>
      </c>
      <c r="F87" s="9">
        <f t="shared" ca="1" si="0"/>
        <v>0</v>
      </c>
      <c r="G87" s="9">
        <f t="shared" si="0"/>
        <v>1</v>
      </c>
      <c r="H87" s="9">
        <f t="shared" ca="1" si="0"/>
        <v>0</v>
      </c>
      <c r="I87" s="9">
        <f t="shared" ca="1" si="0"/>
        <v>0</v>
      </c>
      <c r="J87" s="9">
        <f t="shared" si="0"/>
        <v>2</v>
      </c>
    </row>
    <row r="88" spans="1:10" ht="15.75" customHeight="1">
      <c r="B88" s="13" t="s">
        <v>303</v>
      </c>
    </row>
    <row r="89" spans="1:10" ht="15.75" customHeight="1"/>
    <row r="90" spans="1:10" ht="15.75" customHeight="1"/>
    <row r="91" spans="1:10" ht="15.75" customHeight="1"/>
    <row r="92" spans="1:10" ht="15.75" customHeight="1"/>
    <row r="93" spans="1:10" ht="15.75" customHeight="1"/>
    <row r="94" spans="1:10" ht="15.75" customHeight="1"/>
    <row r="95" spans="1:10" ht="15.75" customHeight="1"/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59"/>
  <sheetViews>
    <sheetView workbookViewId="0"/>
  </sheetViews>
  <sheetFormatPr baseColWidth="10" defaultColWidth="12.6640625" defaultRowHeight="15" customHeight="1"/>
  <cols>
    <col min="2" max="2" width="17.33203125" customWidth="1"/>
  </cols>
  <sheetData>
    <row r="1" spans="1:5">
      <c r="A1" s="9" t="str">
        <f ca="1">IFERROR(__xludf.DUMMYFUNCTION("IMPORTRANGE(""https://docs.google.com/spreadsheets/d/1_R5XGAbKIAiF9dmTsF3tMbRMvAh_nv1cUh_NAjqTboc/edit#gid=0"",""COFA live!B2:D60"")"),"")</f>
        <v/>
      </c>
      <c r="B1" s="9" t="str">
        <f ca="1">IFERROR(__xludf.DUMMYFUNCTION("""COMPUTED_VALUE"""),"Cost of Funding (Firm View)")</f>
        <v>Cost of Funding (Firm View)</v>
      </c>
      <c r="C1" s="9"/>
    </row>
    <row r="2" spans="1:5">
      <c r="A2" s="9" t="str">
        <f ca="1">IFERROR(__xludf.DUMMYFUNCTION("""COMPUTED_VALUE"""),"Coin")</f>
        <v>Coin</v>
      </c>
      <c r="B2" s="9" t="str">
        <f ca="1">IFERROR(__xludf.DUMMYFUNCTION("""COMPUTED_VALUE"""),"Excl. All Collateral")</f>
        <v>Excl. All Collateral</v>
      </c>
      <c r="C2" s="9" t="str">
        <f ca="1">IFERROR(__xludf.DUMMYFUNCTION("""COMPUTED_VALUE"""),"Incl. All Collateral")</f>
        <v>Incl. All Collateral</v>
      </c>
    </row>
    <row r="3" spans="1:5">
      <c r="A3" s="9" t="str">
        <f ca="1">IFERROR(__xludf.DUMMYFUNCTION("""COMPUTED_VALUE"""),"CEL")</f>
        <v>CEL</v>
      </c>
      <c r="B3" s="30">
        <f ca="1">IFERROR(__xludf.DUMMYFUNCTION("""COMPUTED_VALUE"""),0.0471)</f>
        <v>4.7100000000000003E-2</v>
      </c>
      <c r="C3" s="30">
        <f ca="1">IFERROR(__xludf.DUMMYFUNCTION("""COMPUTED_VALUE"""),0.0389)</f>
        <v>3.8899999999999997E-2</v>
      </c>
    </row>
    <row r="4" spans="1:5">
      <c r="A4" s="9" t="str">
        <f ca="1">IFERROR(__xludf.DUMMYFUNCTION("""COMPUTED_VALUE"""),"1INCH")</f>
        <v>1INCH</v>
      </c>
      <c r="B4" s="30">
        <f ca="1">IFERROR(__xludf.DUMMYFUNCTION("""COMPUTED_VALUE"""),0.0406)</f>
        <v>4.0599999999999997E-2</v>
      </c>
      <c r="C4" s="30">
        <f ca="1">IFERROR(__xludf.DUMMYFUNCTION("""COMPUTED_VALUE"""),0.0399)</f>
        <v>3.9899999999999998E-2</v>
      </c>
      <c r="E4" s="7" t="s">
        <v>279</v>
      </c>
    </row>
    <row r="5" spans="1:5">
      <c r="A5" s="9" t="str">
        <f ca="1">IFERROR(__xludf.DUMMYFUNCTION("""COMPUTED_VALUE"""),"AAVE")</f>
        <v>AAVE</v>
      </c>
      <c r="B5" s="30">
        <f ca="1">IFERROR(__xludf.DUMMYFUNCTION("""COMPUTED_VALUE"""),0.0492)</f>
        <v>4.9200000000000001E-2</v>
      </c>
      <c r="C5" s="30">
        <f ca="1">IFERROR(__xludf.DUMMYFUNCTION("""COMPUTED_VALUE"""),0.0396)</f>
        <v>3.9600000000000003E-2</v>
      </c>
      <c r="E5" s="9" t="s">
        <v>187</v>
      </c>
    </row>
    <row r="6" spans="1:5">
      <c r="A6" s="9" t="str">
        <f ca="1">IFERROR(__xludf.DUMMYFUNCTION("""COMPUTED_VALUE"""),"ADA")</f>
        <v>ADA</v>
      </c>
      <c r="B6" s="30">
        <f ca="1">IFERROR(__xludf.DUMMYFUNCTION("""COMPUTED_VALUE"""),0.0405)</f>
        <v>4.0500000000000001E-2</v>
      </c>
      <c r="C6" s="30">
        <f ca="1">IFERROR(__xludf.DUMMYFUNCTION("""COMPUTED_VALUE"""),0.0217)</f>
        <v>2.1700000000000001E-2</v>
      </c>
      <c r="E6" s="9" t="s">
        <v>203</v>
      </c>
    </row>
    <row r="7" spans="1:5">
      <c r="A7" s="9" t="str">
        <f ca="1">IFERROR(__xludf.DUMMYFUNCTION("""COMPUTED_VALUE"""),"BAT")</f>
        <v>BAT</v>
      </c>
      <c r="B7" s="30">
        <f ca="1">IFERROR(__xludf.DUMMYFUNCTION("""COMPUTED_VALUE"""),0.0106)</f>
        <v>1.06E-2</v>
      </c>
      <c r="C7" s="30">
        <f ca="1">IFERROR(__xludf.DUMMYFUNCTION("""COMPUTED_VALUE"""),0.0101)</f>
        <v>1.01E-2</v>
      </c>
      <c r="E7" s="9" t="s">
        <v>215</v>
      </c>
    </row>
    <row r="8" spans="1:5">
      <c r="A8" s="9" t="str">
        <f ca="1">IFERROR(__xludf.DUMMYFUNCTION("""COMPUTED_VALUE"""),"BCH")</f>
        <v>BCH</v>
      </c>
      <c r="B8" s="30">
        <f ca="1">IFERROR(__xludf.DUMMYFUNCTION("""COMPUTED_VALUE"""),0.0469)</f>
        <v>4.6899999999999997E-2</v>
      </c>
      <c r="C8" s="30">
        <f ca="1">IFERROR(__xludf.DUMMYFUNCTION("""COMPUTED_VALUE"""),0.0233)</f>
        <v>2.3300000000000001E-2</v>
      </c>
      <c r="E8" s="9" t="s">
        <v>220</v>
      </c>
    </row>
    <row r="9" spans="1:5">
      <c r="A9" s="9" t="str">
        <f ca="1">IFERROR(__xludf.DUMMYFUNCTION("""COMPUTED_VALUE"""),"BNB")</f>
        <v>BNB</v>
      </c>
      <c r="B9" s="30">
        <f ca="1">IFERROR(__xludf.DUMMYFUNCTION("""COMPUTED_VALUE"""),0.0645)</f>
        <v>6.4500000000000002E-2</v>
      </c>
      <c r="C9" s="30">
        <f ca="1">IFERROR(__xludf.DUMMYFUNCTION("""COMPUTED_VALUE"""),0.0579)</f>
        <v>5.79E-2</v>
      </c>
      <c r="E9" s="9" t="s">
        <v>237</v>
      </c>
    </row>
    <row r="10" spans="1:5">
      <c r="A10" s="9" t="str">
        <f ca="1">IFERROR(__xludf.DUMMYFUNCTION("""COMPUTED_VALUE"""),"BNT")</f>
        <v>BNT</v>
      </c>
      <c r="B10" s="30">
        <f ca="1">IFERROR(__xludf.DUMMYFUNCTION("""COMPUTED_VALUE"""),0.0595)</f>
        <v>5.9499999999999997E-2</v>
      </c>
      <c r="C10" s="30">
        <f ca="1">IFERROR(__xludf.DUMMYFUNCTION("""COMPUTED_VALUE"""),0.0595)</f>
        <v>5.9499999999999997E-2</v>
      </c>
      <c r="E10" s="9" t="s">
        <v>238</v>
      </c>
    </row>
    <row r="11" spans="1:5">
      <c r="A11" s="9" t="str">
        <f ca="1">IFERROR(__xludf.DUMMYFUNCTION("""COMPUTED_VALUE"""),"BSV")</f>
        <v>BSV</v>
      </c>
      <c r="B11" s="30">
        <f ca="1">IFERROR(__xludf.DUMMYFUNCTION("""COMPUTED_VALUE"""),0.0213)</f>
        <v>2.1299999999999999E-2</v>
      </c>
      <c r="C11" s="30">
        <f ca="1">IFERROR(__xludf.DUMMYFUNCTION("""COMPUTED_VALUE"""),0.0184)</f>
        <v>1.84E-2</v>
      </c>
      <c r="E11" s="9" t="s">
        <v>239</v>
      </c>
    </row>
    <row r="12" spans="1:5">
      <c r="A12" s="9" t="str">
        <f ca="1">IFERROR(__xludf.DUMMYFUNCTION("""COMPUTED_VALUE"""),"BTC")</f>
        <v>BTC</v>
      </c>
      <c r="B12" s="30">
        <f ca="1">IFERROR(__xludf.DUMMYFUNCTION("""COMPUTED_VALUE"""),0.039)</f>
        <v>3.9E-2</v>
      </c>
      <c r="C12" s="30">
        <f ca="1">IFERROR(__xludf.DUMMYFUNCTION("""COMPUTED_VALUE"""),0.0292)</f>
        <v>2.92E-2</v>
      </c>
      <c r="E12" s="9" t="s">
        <v>240</v>
      </c>
    </row>
    <row r="13" spans="1:5">
      <c r="A13" s="9" t="str">
        <f ca="1">IFERROR(__xludf.DUMMYFUNCTION("""COMPUTED_VALUE"""),"BTG")</f>
        <v>BTG</v>
      </c>
      <c r="B13" s="30">
        <f ca="1">IFERROR(__xludf.DUMMYFUNCTION("""COMPUTED_VALUE"""),0)</f>
        <v>0</v>
      </c>
      <c r="C13" s="30">
        <f ca="1">IFERROR(__xludf.DUMMYFUNCTION("""COMPUTED_VALUE"""),0)</f>
        <v>0</v>
      </c>
      <c r="E13" s="9" t="s">
        <v>242</v>
      </c>
    </row>
    <row r="14" spans="1:5">
      <c r="A14" s="9" t="str">
        <f ca="1">IFERROR(__xludf.DUMMYFUNCTION("""COMPUTED_VALUE"""),"BUSD")</f>
        <v>BUSD</v>
      </c>
      <c r="B14" s="30">
        <f ca="1">IFERROR(__xludf.DUMMYFUNCTION("""COMPUTED_VALUE"""),0.0977)</f>
        <v>9.7699999999999995E-2</v>
      </c>
      <c r="C14" s="30">
        <f ca="1">IFERROR(__xludf.DUMMYFUNCTION("""COMPUTED_VALUE"""),0.0977)</f>
        <v>9.7699999999999995E-2</v>
      </c>
      <c r="E14" s="9" t="s">
        <v>246</v>
      </c>
    </row>
    <row r="15" spans="1:5">
      <c r="A15" s="9" t="str">
        <f ca="1">IFERROR(__xludf.DUMMYFUNCTION("""COMPUTED_VALUE"""),"COMP")</f>
        <v>COMP</v>
      </c>
      <c r="B15" s="30">
        <f ca="1">IFERROR(__xludf.DUMMYFUNCTION("""COMPUTED_VALUE"""),0.0461)</f>
        <v>4.6100000000000002E-2</v>
      </c>
      <c r="C15" s="30">
        <f ca="1">IFERROR(__xludf.DUMMYFUNCTION("""COMPUTED_VALUE"""),0.0449)</f>
        <v>4.4900000000000002E-2</v>
      </c>
      <c r="E15" s="9" t="s">
        <v>247</v>
      </c>
    </row>
    <row r="16" spans="1:5">
      <c r="A16" s="9" t="str">
        <f ca="1">IFERROR(__xludf.DUMMYFUNCTION("""COMPUTED_VALUE"""),"DASH")</f>
        <v>DASH</v>
      </c>
      <c r="B16" s="30">
        <f ca="1">IFERROR(__xludf.DUMMYFUNCTION("""COMPUTED_VALUE"""),0.0463)</f>
        <v>4.6300000000000001E-2</v>
      </c>
      <c r="C16" s="30">
        <f ca="1">IFERROR(__xludf.DUMMYFUNCTION("""COMPUTED_VALUE"""),0.0418)</f>
        <v>4.1799999999999997E-2</v>
      </c>
      <c r="E16" s="9" t="s">
        <v>249</v>
      </c>
    </row>
    <row r="17" spans="1:5">
      <c r="A17" s="9" t="str">
        <f ca="1">IFERROR(__xludf.DUMMYFUNCTION("""COMPUTED_VALUE"""),"DOT")</f>
        <v>DOT</v>
      </c>
      <c r="B17" s="30">
        <f ca="1">IFERROR(__xludf.DUMMYFUNCTION("""COMPUTED_VALUE"""),0.0873)</f>
        <v>8.7300000000000003E-2</v>
      </c>
      <c r="C17" s="30">
        <f ca="1">IFERROR(__xludf.DUMMYFUNCTION("""COMPUTED_VALUE"""),0.0755)</f>
        <v>7.5499999999999998E-2</v>
      </c>
      <c r="E17" s="9" t="s">
        <v>256</v>
      </c>
    </row>
    <row r="18" spans="1:5">
      <c r="A18" s="9" t="str">
        <f ca="1">IFERROR(__xludf.DUMMYFUNCTION("""COMPUTED_VALUE"""),"EOS")</f>
        <v>EOS</v>
      </c>
      <c r="B18" s="30">
        <f ca="1">IFERROR(__xludf.DUMMYFUNCTION("""COMPUTED_VALUE"""),0.0507)</f>
        <v>5.0700000000000002E-2</v>
      </c>
      <c r="C18" s="30">
        <f ca="1">IFERROR(__xludf.DUMMYFUNCTION("""COMPUTED_VALUE"""),0.0477)</f>
        <v>4.7699999999999999E-2</v>
      </c>
      <c r="E18" s="9" t="s">
        <v>280</v>
      </c>
    </row>
    <row r="19" spans="1:5">
      <c r="A19" s="9" t="str">
        <f ca="1">IFERROR(__xludf.DUMMYFUNCTION("""COMPUTED_VALUE"""),"ETC")</f>
        <v>ETC</v>
      </c>
      <c r="B19" s="30">
        <f ca="1">IFERROR(__xludf.DUMMYFUNCTION("""COMPUTED_VALUE"""),0.0296)</f>
        <v>2.9600000000000001E-2</v>
      </c>
      <c r="C19" s="30">
        <f ca="1">IFERROR(__xludf.DUMMYFUNCTION("""COMPUTED_VALUE"""),0.0295)</f>
        <v>2.9499999999999998E-2</v>
      </c>
      <c r="E19" s="9" t="s">
        <v>245</v>
      </c>
    </row>
    <row r="20" spans="1:5">
      <c r="A20" s="9" t="str">
        <f ca="1">IFERROR(__xludf.DUMMYFUNCTION("""COMPUTED_VALUE"""),"ETH")</f>
        <v>ETH</v>
      </c>
      <c r="B20" s="30">
        <f ca="1">IFERROR(__xludf.DUMMYFUNCTION("""COMPUTED_VALUE"""),0.046)</f>
        <v>4.5999999999999999E-2</v>
      </c>
      <c r="C20" s="30">
        <f ca="1">IFERROR(__xludf.DUMMYFUNCTION("""COMPUTED_VALUE"""),0.0379)</f>
        <v>3.7900000000000003E-2</v>
      </c>
      <c r="E20" s="9" t="s">
        <v>211</v>
      </c>
    </row>
    <row r="21" spans="1:5">
      <c r="A21" s="9" t="str">
        <f ca="1">IFERROR(__xludf.DUMMYFUNCTION("""COMPUTED_VALUE"""),"GUSD")</f>
        <v>GUSD</v>
      </c>
      <c r="B21" s="30">
        <f ca="1">IFERROR(__xludf.DUMMYFUNCTION("""COMPUTED_VALUE"""),0.0945)</f>
        <v>9.4500000000000001E-2</v>
      </c>
      <c r="C21" s="30">
        <f ca="1">IFERROR(__xludf.DUMMYFUNCTION("""COMPUTED_VALUE"""),0.0943)</f>
        <v>9.4299999999999995E-2</v>
      </c>
    </row>
    <row r="22" spans="1:5">
      <c r="A22" s="9" t="str">
        <f ca="1">IFERROR(__xludf.DUMMYFUNCTION("""COMPUTED_VALUE"""),"KNC")</f>
        <v>KNC</v>
      </c>
      <c r="B22" s="30">
        <f ca="1">IFERROR(__xludf.DUMMYFUNCTION("""COMPUTED_VALUE"""),0.005)</f>
        <v>5.0000000000000001E-3</v>
      </c>
      <c r="C22" s="30">
        <f ca="1">IFERROR(__xludf.DUMMYFUNCTION("""COMPUTED_VALUE"""),0.0048)</f>
        <v>4.7999999999999996E-3</v>
      </c>
    </row>
    <row r="23" spans="1:5">
      <c r="A23" s="9" t="str">
        <f ca="1">IFERROR(__xludf.DUMMYFUNCTION("""COMPUTED_VALUE"""),"LINK")</f>
        <v>LINK</v>
      </c>
      <c r="B23" s="30">
        <f ca="1">IFERROR(__xludf.DUMMYFUNCTION("""COMPUTED_VALUE"""),0.0299)</f>
        <v>2.9899999999999999E-2</v>
      </c>
      <c r="C23" s="30">
        <f ca="1">IFERROR(__xludf.DUMMYFUNCTION("""COMPUTED_VALUE"""),0.0253)</f>
        <v>2.53E-2</v>
      </c>
    </row>
    <row r="24" spans="1:5">
      <c r="A24" s="9" t="str">
        <f ca="1">IFERROR(__xludf.DUMMYFUNCTION("""COMPUTED_VALUE"""),"LPT")</f>
        <v>LPT</v>
      </c>
      <c r="B24" s="30">
        <f ca="1">IFERROR(__xludf.DUMMYFUNCTION("""COMPUTED_VALUE"""),0)</f>
        <v>0</v>
      </c>
      <c r="C24" s="30">
        <f ca="1">IFERROR(__xludf.DUMMYFUNCTION("""COMPUTED_VALUE"""),0)</f>
        <v>0</v>
      </c>
    </row>
    <row r="25" spans="1:5">
      <c r="A25" s="9" t="str">
        <f ca="1">IFERROR(__xludf.DUMMYFUNCTION("""COMPUTED_VALUE"""),"LTC")</f>
        <v>LTC</v>
      </c>
      <c r="B25" s="30">
        <f ca="1">IFERROR(__xludf.DUMMYFUNCTION("""COMPUTED_VALUE"""),0.033)</f>
        <v>3.3000000000000002E-2</v>
      </c>
      <c r="C25" s="30">
        <f ca="1">IFERROR(__xludf.DUMMYFUNCTION("""COMPUTED_VALUE"""),0.0291)</f>
        <v>2.9100000000000001E-2</v>
      </c>
    </row>
    <row r="26" spans="1:5">
      <c r="A26" s="9" t="str">
        <f ca="1">IFERROR(__xludf.DUMMYFUNCTION("""COMPUTED_VALUE"""),"LUNA")</f>
        <v>LUNA</v>
      </c>
      <c r="B26" s="30">
        <f ca="1">IFERROR(__xludf.DUMMYFUNCTION("""COMPUTED_VALUE"""),0.0498)</f>
        <v>4.9799999999999997E-2</v>
      </c>
      <c r="C26" s="30">
        <f ca="1">IFERROR(__xludf.DUMMYFUNCTION("""COMPUTED_VALUE"""),0.0489)</f>
        <v>4.8899999999999999E-2</v>
      </c>
    </row>
    <row r="27" spans="1:5">
      <c r="A27" s="9" t="str">
        <f ca="1">IFERROR(__xludf.DUMMYFUNCTION("""COMPUTED_VALUE"""),"MANA")</f>
        <v>MANA</v>
      </c>
      <c r="B27" s="30">
        <f ca="1">IFERROR(__xludf.DUMMYFUNCTION("""COMPUTED_VALUE"""),0.0052)</f>
        <v>5.1999999999999998E-3</v>
      </c>
      <c r="C27" s="30">
        <f ca="1">IFERROR(__xludf.DUMMYFUNCTION("""COMPUTED_VALUE"""),0.0044)</f>
        <v>4.4000000000000003E-3</v>
      </c>
    </row>
    <row r="28" spans="1:5">
      <c r="A28" s="9" t="str">
        <f ca="1">IFERROR(__xludf.DUMMYFUNCTION("""COMPUTED_VALUE"""),"MATIC")</f>
        <v>MATIC</v>
      </c>
      <c r="B28" s="30">
        <f ca="1">IFERROR(__xludf.DUMMYFUNCTION("""COMPUTED_VALUE"""),0.0892)</f>
        <v>8.9200000000000002E-2</v>
      </c>
      <c r="C28" s="30">
        <f ca="1">IFERROR(__xludf.DUMMYFUNCTION("""COMPUTED_VALUE"""),0.0822)</f>
        <v>8.2199999999999995E-2</v>
      </c>
    </row>
    <row r="29" spans="1:5">
      <c r="A29" s="9" t="str">
        <f ca="1">IFERROR(__xludf.DUMMYFUNCTION("""COMPUTED_VALUE"""),"MCDAI")</f>
        <v>MCDAI</v>
      </c>
      <c r="B29" s="30">
        <f ca="1">IFERROR(__xludf.DUMMYFUNCTION("""COMPUTED_VALUE"""),0.1996)</f>
        <v>0.1996</v>
      </c>
      <c r="C29" s="30">
        <f ca="1">IFERROR(__xludf.DUMMYFUNCTION("""COMPUTED_VALUE"""),0.1991)</f>
        <v>0.1991</v>
      </c>
    </row>
    <row r="30" spans="1:5">
      <c r="A30" s="9" t="str">
        <f ca="1">IFERROR(__xludf.DUMMYFUNCTION("""COMPUTED_VALUE"""),"OMG")</f>
        <v>OMG</v>
      </c>
      <c r="B30" s="30">
        <f ca="1">IFERROR(__xludf.DUMMYFUNCTION("""COMPUTED_VALUE"""),0.0056)</f>
        <v>5.5999999999999999E-3</v>
      </c>
      <c r="C30" s="30">
        <f ca="1">IFERROR(__xludf.DUMMYFUNCTION("""COMPUTED_VALUE"""),0.0047)</f>
        <v>4.7000000000000002E-3</v>
      </c>
    </row>
    <row r="31" spans="1:5">
      <c r="A31" s="9" t="str">
        <f ca="1">IFERROR(__xludf.DUMMYFUNCTION("""COMPUTED_VALUE"""),"ORBS")</f>
        <v>ORBS</v>
      </c>
      <c r="B31" s="30">
        <f ca="1">IFERROR(__xludf.DUMMYFUNCTION("""COMPUTED_VALUE"""),0)</f>
        <v>0</v>
      </c>
      <c r="C31" s="30">
        <f ca="1">IFERROR(__xludf.DUMMYFUNCTION("""COMPUTED_VALUE"""),0)</f>
        <v>0</v>
      </c>
    </row>
    <row r="32" spans="1:5">
      <c r="A32" s="9" t="str">
        <f ca="1">IFERROR(__xludf.DUMMYFUNCTION("""COMPUTED_VALUE"""),"PAX")</f>
        <v>PAX</v>
      </c>
      <c r="B32" s="30">
        <f ca="1">IFERROR(__xludf.DUMMYFUNCTION("""COMPUTED_VALUE"""),0.0973)</f>
        <v>9.7299999999999998E-2</v>
      </c>
      <c r="C32" s="30">
        <f ca="1">IFERROR(__xludf.DUMMYFUNCTION("""COMPUTED_VALUE"""),0.0973)</f>
        <v>9.7299999999999998E-2</v>
      </c>
    </row>
    <row r="33" spans="1:3">
      <c r="A33" s="9" t="str">
        <f ca="1">IFERROR(__xludf.DUMMYFUNCTION("""COMPUTED_VALUE"""),"PAXG")</f>
        <v>PAXG</v>
      </c>
      <c r="B33" s="30">
        <f ca="1">IFERROR(__xludf.DUMMYFUNCTION("""COMPUTED_VALUE"""),0.0537)</f>
        <v>5.3699999999999998E-2</v>
      </c>
      <c r="C33" s="30">
        <f ca="1">IFERROR(__xludf.DUMMYFUNCTION("""COMPUTED_VALUE"""),0.052)</f>
        <v>5.1999999999999998E-2</v>
      </c>
    </row>
    <row r="34" spans="1:3">
      <c r="A34" s="9" t="str">
        <f ca="1">IFERROR(__xludf.DUMMYFUNCTION("""COMPUTED_VALUE"""),"SGR")</f>
        <v>SGR</v>
      </c>
      <c r="B34" s="30">
        <f ca="1">IFERROR(__xludf.DUMMYFUNCTION("""COMPUTED_VALUE"""),0)</f>
        <v>0</v>
      </c>
      <c r="C34" s="30">
        <f ca="1">IFERROR(__xludf.DUMMYFUNCTION("""COMPUTED_VALUE"""),0)</f>
        <v>0</v>
      </c>
    </row>
    <row r="35" spans="1:3">
      <c r="A35" s="9" t="str">
        <f ca="1">IFERROR(__xludf.DUMMYFUNCTION("""COMPUTED_VALUE"""),"SNX")</f>
        <v>SNX</v>
      </c>
      <c r="B35" s="30">
        <f ca="1">IFERROR(__xludf.DUMMYFUNCTION("""COMPUTED_VALUE"""),0.1361)</f>
        <v>0.1361</v>
      </c>
      <c r="C35" s="30">
        <f ca="1">IFERROR(__xludf.DUMMYFUNCTION("""COMPUTED_VALUE"""),0.1333)</f>
        <v>0.1333</v>
      </c>
    </row>
    <row r="36" spans="1:3">
      <c r="A36" s="9" t="str">
        <f ca="1">IFERROR(__xludf.DUMMYFUNCTION("""COMPUTED_VALUE"""),"SUSHI")</f>
        <v>SUSHI</v>
      </c>
      <c r="B36" s="30">
        <f ca="1">IFERROR(__xludf.DUMMYFUNCTION("""COMPUTED_VALUE"""),0.0371)</f>
        <v>3.7100000000000001E-2</v>
      </c>
      <c r="C36" s="30">
        <f ca="1">IFERROR(__xludf.DUMMYFUNCTION("""COMPUTED_VALUE"""),0.0357)</f>
        <v>3.5700000000000003E-2</v>
      </c>
    </row>
    <row r="37" spans="1:3">
      <c r="A37" s="9" t="str">
        <f ca="1">IFERROR(__xludf.DUMMYFUNCTION("""COMPUTED_VALUE"""),"TAUD")</f>
        <v>TAUD</v>
      </c>
      <c r="B37" s="30">
        <f ca="1">IFERROR(__xludf.DUMMYFUNCTION("""COMPUTED_VALUE"""),0.097)</f>
        <v>9.7000000000000003E-2</v>
      </c>
      <c r="C37" s="30">
        <f ca="1">IFERROR(__xludf.DUMMYFUNCTION("""COMPUTED_VALUE"""),0.097)</f>
        <v>9.7000000000000003E-2</v>
      </c>
    </row>
    <row r="38" spans="1:3">
      <c r="A38" s="9" t="str">
        <f ca="1">IFERROR(__xludf.DUMMYFUNCTION("""COMPUTED_VALUE"""),"TCAD")</f>
        <v>TCAD</v>
      </c>
      <c r="B38" s="30">
        <f ca="1">IFERROR(__xludf.DUMMYFUNCTION("""COMPUTED_VALUE"""),0.1056)</f>
        <v>0.1056</v>
      </c>
      <c r="C38" s="30">
        <f ca="1">IFERROR(__xludf.DUMMYFUNCTION("""COMPUTED_VALUE"""),0.1056)</f>
        <v>0.1056</v>
      </c>
    </row>
    <row r="39" spans="1:3">
      <c r="A39" s="9" t="str">
        <f ca="1">IFERROR(__xludf.DUMMYFUNCTION("""COMPUTED_VALUE"""),"TGBP")</f>
        <v>TGBP</v>
      </c>
      <c r="B39" s="30">
        <f ca="1">IFERROR(__xludf.DUMMYFUNCTION("""COMPUTED_VALUE"""),0.1002)</f>
        <v>0.1002</v>
      </c>
      <c r="C39" s="30">
        <f ca="1">IFERROR(__xludf.DUMMYFUNCTION("""COMPUTED_VALUE"""),0.1001)</f>
        <v>0.10009999999999999</v>
      </c>
    </row>
    <row r="40" spans="1:3">
      <c r="A40" s="9" t="str">
        <f ca="1">IFERROR(__xludf.DUMMYFUNCTION("""COMPUTED_VALUE"""),"THKD")</f>
        <v>THKD</v>
      </c>
      <c r="B40" s="30">
        <f ca="1">IFERROR(__xludf.DUMMYFUNCTION("""COMPUTED_VALUE"""),0.0941)</f>
        <v>9.4100000000000003E-2</v>
      </c>
      <c r="C40" s="30">
        <f ca="1">IFERROR(__xludf.DUMMYFUNCTION("""COMPUTED_VALUE"""),0.0941)</f>
        <v>9.4100000000000003E-2</v>
      </c>
    </row>
    <row r="41" spans="1:3">
      <c r="A41" s="9" t="str">
        <f ca="1">IFERROR(__xludf.DUMMYFUNCTION("""COMPUTED_VALUE"""),"TUSD")</f>
        <v>TUSD</v>
      </c>
      <c r="B41" s="30">
        <f ca="1">IFERROR(__xludf.DUMMYFUNCTION("""COMPUTED_VALUE"""),0.0927)</f>
        <v>9.2700000000000005E-2</v>
      </c>
      <c r="C41" s="30">
        <f ca="1">IFERROR(__xludf.DUMMYFUNCTION("""COMPUTED_VALUE"""),0.0921)</f>
        <v>9.2100000000000001E-2</v>
      </c>
    </row>
    <row r="42" spans="1:3">
      <c r="A42" s="9" t="str">
        <f ca="1">IFERROR(__xludf.DUMMYFUNCTION("""COMPUTED_VALUE"""),"UMA")</f>
        <v>UMA</v>
      </c>
      <c r="B42" s="30">
        <f ca="1">IFERROR(__xludf.DUMMYFUNCTION("""COMPUTED_VALUE"""),0.0102)</f>
        <v>1.0200000000000001E-2</v>
      </c>
      <c r="C42" s="30">
        <f ca="1">IFERROR(__xludf.DUMMYFUNCTION("""COMPUTED_VALUE"""),0.0094)</f>
        <v>9.4000000000000004E-3</v>
      </c>
    </row>
    <row r="43" spans="1:3">
      <c r="A43" s="9" t="str">
        <f ca="1">IFERROR(__xludf.DUMMYFUNCTION("""COMPUTED_VALUE"""),"UNI")</f>
        <v>UNI</v>
      </c>
      <c r="B43" s="30">
        <f ca="1">IFERROR(__xludf.DUMMYFUNCTION("""COMPUTED_VALUE"""),0.0255)</f>
        <v>2.5499999999999998E-2</v>
      </c>
      <c r="C43" s="30">
        <f ca="1">IFERROR(__xludf.DUMMYFUNCTION("""COMPUTED_VALUE"""),0.0229)</f>
        <v>2.29E-2</v>
      </c>
    </row>
    <row r="44" spans="1:3">
      <c r="A44" s="9" t="str">
        <f ca="1">IFERROR(__xludf.DUMMYFUNCTION("""COMPUTED_VALUE"""),"USDC")</f>
        <v>USDC</v>
      </c>
      <c r="B44" s="30">
        <f ca="1">IFERROR(__xludf.DUMMYFUNCTION("""COMPUTED_VALUE"""),0.1355)</f>
        <v>0.13550000000000001</v>
      </c>
      <c r="C44" s="30">
        <f ca="1">IFERROR(__xludf.DUMMYFUNCTION("""COMPUTED_VALUE"""),0.1266)</f>
        <v>0.12659999999999999</v>
      </c>
    </row>
    <row r="45" spans="1:3">
      <c r="A45" s="9" t="str">
        <f ca="1">IFERROR(__xludf.DUMMYFUNCTION("""COMPUTED_VALUE"""),"USDT ERC20")</f>
        <v>USDT ERC20</v>
      </c>
      <c r="B45" s="30">
        <f ca="1">IFERROR(__xludf.DUMMYFUNCTION("""COMPUTED_VALUE"""),0.1293)</f>
        <v>0.1293</v>
      </c>
      <c r="C45" s="30">
        <f ca="1">IFERROR(__xludf.DUMMYFUNCTION("""COMPUTED_VALUE"""),0.1293)</f>
        <v>0.1293</v>
      </c>
    </row>
    <row r="46" spans="1:3">
      <c r="A46" s="9" t="str">
        <f ca="1">IFERROR(__xludf.DUMMYFUNCTION("""COMPUTED_VALUE"""),"WDGLD")</f>
        <v>WDGLD</v>
      </c>
      <c r="B46" s="30">
        <f ca="1">IFERROR(__xludf.DUMMYFUNCTION("""COMPUTED_VALUE"""),0.0385)</f>
        <v>3.85E-2</v>
      </c>
      <c r="C46" s="30">
        <f ca="1">IFERROR(__xludf.DUMMYFUNCTION("""COMPUTED_VALUE"""),0.0385)</f>
        <v>3.85E-2</v>
      </c>
    </row>
    <row r="47" spans="1:3">
      <c r="A47" s="9" t="str">
        <f ca="1">IFERROR(__xludf.DUMMYFUNCTION("""COMPUTED_VALUE"""),"XAUT")</f>
        <v>XAUT</v>
      </c>
      <c r="B47" s="30">
        <f ca="1">IFERROR(__xludf.DUMMYFUNCTION("""COMPUTED_VALUE"""),0.0554)</f>
        <v>5.5399999999999998E-2</v>
      </c>
      <c r="C47" s="30">
        <f ca="1">IFERROR(__xludf.DUMMYFUNCTION("""COMPUTED_VALUE"""),0.0554)</f>
        <v>5.5399999999999998E-2</v>
      </c>
    </row>
    <row r="48" spans="1:3">
      <c r="A48" s="9" t="str">
        <f ca="1">IFERROR(__xludf.DUMMYFUNCTION("""COMPUTED_VALUE"""),"XLM")</f>
        <v>XLM</v>
      </c>
      <c r="B48" s="30">
        <f ca="1">IFERROR(__xludf.DUMMYFUNCTION("""COMPUTED_VALUE"""),0.0101)</f>
        <v>1.01E-2</v>
      </c>
      <c r="C48" s="30">
        <f ca="1">IFERROR(__xludf.DUMMYFUNCTION("""COMPUTED_VALUE"""),0.0092)</f>
        <v>9.1999999999999998E-3</v>
      </c>
    </row>
    <row r="49" spans="1:3">
      <c r="A49" s="9" t="str">
        <f ca="1">IFERROR(__xludf.DUMMYFUNCTION("""COMPUTED_VALUE"""),"XRP")</f>
        <v>XRP</v>
      </c>
      <c r="B49" s="30">
        <f ca="1">IFERROR(__xludf.DUMMYFUNCTION("""COMPUTED_VALUE"""),0.0174)</f>
        <v>1.7399999999999999E-2</v>
      </c>
      <c r="C49" s="30">
        <f ca="1">IFERROR(__xludf.DUMMYFUNCTION("""COMPUTED_VALUE"""),0.0163)</f>
        <v>1.6299999999999999E-2</v>
      </c>
    </row>
    <row r="50" spans="1:3">
      <c r="A50" s="9" t="str">
        <f ca="1">IFERROR(__xludf.DUMMYFUNCTION("""COMPUTED_VALUE"""),"ZEC")</f>
        <v>ZEC</v>
      </c>
      <c r="B50" s="30">
        <f ca="1">IFERROR(__xludf.DUMMYFUNCTION("""COMPUTED_VALUE"""),0.0204)</f>
        <v>2.0400000000000001E-2</v>
      </c>
      <c r="C50" s="30">
        <f ca="1">IFERROR(__xludf.DUMMYFUNCTION("""COMPUTED_VALUE"""),0.0162)</f>
        <v>1.6199999999999999E-2</v>
      </c>
    </row>
    <row r="51" spans="1:3">
      <c r="A51" s="9" t="str">
        <f ca="1">IFERROR(__xludf.DUMMYFUNCTION("""COMPUTED_VALUE"""),"ZRX")</f>
        <v>ZRX</v>
      </c>
      <c r="B51" s="30">
        <f ca="1">IFERROR(__xludf.DUMMYFUNCTION("""COMPUTED_VALUE"""),0.0179)</f>
        <v>1.7899999999999999E-2</v>
      </c>
      <c r="C51" s="30">
        <f ca="1">IFERROR(__xludf.DUMMYFUNCTION("""COMPUTED_VALUE"""),0.0171)</f>
        <v>1.7100000000000001E-2</v>
      </c>
    </row>
    <row r="52" spans="1:3">
      <c r="A52" s="9" t="str">
        <f ca="1">IFERROR(__xludf.DUMMYFUNCTION("""COMPUTED_VALUE"""),"ZUSD")</f>
        <v>ZUSD</v>
      </c>
      <c r="B52" s="30">
        <f ca="1">IFERROR(__xludf.DUMMYFUNCTION("""COMPUTED_VALUE"""),0.0237)</f>
        <v>2.3699999999999999E-2</v>
      </c>
      <c r="C52" s="30">
        <f ca="1">IFERROR(__xludf.DUMMYFUNCTION("""COMPUTED_VALUE"""),0.0237)</f>
        <v>2.3699999999999999E-2</v>
      </c>
    </row>
    <row r="53" spans="1:3">
      <c r="A53" s="9" t="str">
        <f ca="1">IFERROR(__xludf.DUMMYFUNCTION("""COMPUTED_VALUE"""),"Stable (USD)")</f>
        <v>Stable (USD)</v>
      </c>
      <c r="B53" s="30">
        <f ca="1">IFERROR(__xludf.DUMMYFUNCTION("""COMPUTED_VALUE"""),0.1316)</f>
        <v>0.13159999999999999</v>
      </c>
      <c r="C53" s="30">
        <f ca="1">IFERROR(__xludf.DUMMYFUNCTION("""COMPUTED_VALUE"""),0.1275)</f>
        <v>0.1275</v>
      </c>
    </row>
    <row r="54" spans="1:3">
      <c r="A54" s="9"/>
      <c r="B54" s="9"/>
      <c r="C54" s="9"/>
    </row>
    <row r="55" spans="1:3">
      <c r="A55" s="9"/>
      <c r="B55" s="9"/>
      <c r="C55" s="9"/>
    </row>
    <row r="56" spans="1:3">
      <c r="A56" s="9"/>
      <c r="B56" s="9"/>
      <c r="C56" s="9"/>
    </row>
    <row r="57" spans="1:3">
      <c r="A57" s="9"/>
      <c r="B57" s="9"/>
      <c r="C57" s="9"/>
    </row>
    <row r="58" spans="1:3">
      <c r="A58" s="9"/>
      <c r="B58" s="9"/>
      <c r="C58" s="9"/>
    </row>
    <row r="59" spans="1:3">
      <c r="A59" s="9"/>
      <c r="B59" s="9"/>
      <c r="C59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57"/>
  <sheetViews>
    <sheetView workbookViewId="0"/>
  </sheetViews>
  <sheetFormatPr baseColWidth="10" defaultColWidth="12.6640625" defaultRowHeight="15" customHeight="1"/>
  <cols>
    <col min="2" max="2" width="16" customWidth="1"/>
  </cols>
  <sheetData>
    <row r="1" spans="1:5">
      <c r="A1" s="31" t="s">
        <v>0</v>
      </c>
      <c r="B1" s="31" t="s">
        <v>281</v>
      </c>
      <c r="C1" s="31" t="s">
        <v>282</v>
      </c>
      <c r="D1" s="31" t="s">
        <v>283</v>
      </c>
      <c r="E1" s="32">
        <v>44531</v>
      </c>
    </row>
    <row r="2" spans="1:5">
      <c r="A2" s="31" t="s">
        <v>244</v>
      </c>
      <c r="B2" s="33">
        <v>903308.51</v>
      </c>
      <c r="C2" s="34">
        <v>66735.885150000002</v>
      </c>
      <c r="D2" s="35">
        <v>7.3899999999999993E-2</v>
      </c>
    </row>
    <row r="3" spans="1:5">
      <c r="A3" s="31" t="s">
        <v>247</v>
      </c>
      <c r="B3" s="33">
        <v>445424000</v>
      </c>
      <c r="C3" s="34">
        <v>41802135</v>
      </c>
      <c r="D3" s="35">
        <v>9.3799999999999994E-2</v>
      </c>
    </row>
    <row r="4" spans="1:5">
      <c r="A4" s="31" t="s">
        <v>246</v>
      </c>
      <c r="B4" s="33">
        <v>653350000</v>
      </c>
      <c r="C4" s="33">
        <v>72917500</v>
      </c>
      <c r="D4" s="35">
        <v>0.1116</v>
      </c>
    </row>
    <row r="5" spans="1:5">
      <c r="A5" s="31" t="s">
        <v>167</v>
      </c>
      <c r="B5" s="33">
        <v>70511559</v>
      </c>
      <c r="C5" s="34">
        <v>5166875.7759999996</v>
      </c>
      <c r="D5" s="35">
        <v>7.3300000000000004E-2</v>
      </c>
    </row>
    <row r="6" spans="1:5">
      <c r="A6" s="31" t="s">
        <v>252</v>
      </c>
      <c r="B6" s="33">
        <v>188675357.30000001</v>
      </c>
      <c r="C6" s="34">
        <v>8712696.6669999994</v>
      </c>
      <c r="D6" s="35">
        <v>4.6199999999999998E-2</v>
      </c>
    </row>
    <row r="7" spans="1:5">
      <c r="A7" s="31" t="s">
        <v>180</v>
      </c>
      <c r="B7" s="34">
        <v>30826.76</v>
      </c>
      <c r="C7" s="34">
        <v>2169.2452499999999</v>
      </c>
      <c r="D7" s="35">
        <v>7.0400000000000004E-2</v>
      </c>
    </row>
    <row r="8" spans="1:5">
      <c r="A8" s="31" t="s">
        <v>210</v>
      </c>
      <c r="B8" s="34">
        <v>30000</v>
      </c>
      <c r="C8" s="34">
        <v>1665</v>
      </c>
      <c r="D8" s="35">
        <v>5.5500000000000001E-2</v>
      </c>
    </row>
    <row r="9" spans="1:5">
      <c r="A9" s="31" t="s">
        <v>181</v>
      </c>
      <c r="B9" s="34">
        <v>2557740.9500000002</v>
      </c>
      <c r="C9" s="34">
        <v>183041.8665</v>
      </c>
      <c r="D9" s="35">
        <v>7.1599999999999997E-2</v>
      </c>
    </row>
    <row r="10" spans="1:5">
      <c r="A10" s="31" t="s">
        <v>176</v>
      </c>
      <c r="B10" s="34">
        <v>20408</v>
      </c>
      <c r="C10" s="34">
        <v>11224.4</v>
      </c>
      <c r="D10" s="35">
        <v>0.55000000000000004</v>
      </c>
    </row>
    <row r="11" spans="1:5">
      <c r="A11" s="31" t="s">
        <v>185</v>
      </c>
      <c r="B11" s="34">
        <v>27022.49</v>
      </c>
      <c r="C11" s="34">
        <v>838.99760000000003</v>
      </c>
      <c r="D11" s="35">
        <v>3.1E-2</v>
      </c>
    </row>
    <row r="12" spans="1:5">
      <c r="A12" s="31" t="s">
        <v>204</v>
      </c>
      <c r="B12" s="34">
        <v>330000</v>
      </c>
      <c r="C12" s="34">
        <v>22650</v>
      </c>
      <c r="D12" s="35">
        <v>6.8599999999999994E-2</v>
      </c>
    </row>
    <row r="13" spans="1:5">
      <c r="A13" s="31" t="s">
        <v>214</v>
      </c>
      <c r="B13" s="34">
        <v>7666971</v>
      </c>
      <c r="C13" s="34">
        <v>614817.53500000003</v>
      </c>
      <c r="D13" s="35">
        <v>8.0199999999999994E-2</v>
      </c>
    </row>
    <row r="14" spans="1:5">
      <c r="A14" s="31" t="s">
        <v>251</v>
      </c>
      <c r="B14" s="34">
        <v>44000000</v>
      </c>
      <c r="C14" s="34">
        <v>2350000</v>
      </c>
      <c r="D14" s="35">
        <v>5.3400000000000003E-2</v>
      </c>
    </row>
    <row r="15" spans="1:5">
      <c r="A15" s="31" t="s">
        <v>166</v>
      </c>
      <c r="B15" s="34">
        <v>19620.650000000001</v>
      </c>
      <c r="C15" s="34">
        <v>1293.056875</v>
      </c>
      <c r="D15" s="35">
        <v>6.59E-2</v>
      </c>
    </row>
    <row r="16" spans="1:5">
      <c r="A16" s="31" t="s">
        <v>198</v>
      </c>
      <c r="B16" s="34">
        <v>141345.39000000001</v>
      </c>
      <c r="C16" s="34">
        <v>6092.8274000000001</v>
      </c>
      <c r="D16" s="35">
        <v>4.3099999999999999E-2</v>
      </c>
    </row>
    <row r="17" spans="1:4">
      <c r="A17" s="31" t="s">
        <v>217</v>
      </c>
      <c r="B17" s="34">
        <v>553082.66</v>
      </c>
      <c r="C17" s="34">
        <v>37521.087630000002</v>
      </c>
      <c r="D17" s="35">
        <v>6.7799999999999999E-2</v>
      </c>
    </row>
    <row r="18" spans="1:4">
      <c r="A18" s="31" t="s">
        <v>178</v>
      </c>
      <c r="B18" s="34">
        <v>3980000</v>
      </c>
      <c r="C18" s="34">
        <v>254600</v>
      </c>
      <c r="D18" s="35">
        <v>6.4000000000000001E-2</v>
      </c>
    </row>
    <row r="19" spans="1:4">
      <c r="A19" s="31" t="s">
        <v>196</v>
      </c>
      <c r="B19" s="34">
        <v>3827123.9</v>
      </c>
      <c r="C19" s="34">
        <v>257428.7004</v>
      </c>
      <c r="D19" s="35">
        <v>6.7299999999999999E-2</v>
      </c>
    </row>
    <row r="20" spans="1:4">
      <c r="A20" s="31" t="s">
        <v>245</v>
      </c>
      <c r="B20" s="34">
        <v>37000000</v>
      </c>
      <c r="C20" s="34">
        <v>3540500</v>
      </c>
      <c r="D20" s="35">
        <v>9.5699999999999993E-2</v>
      </c>
    </row>
    <row r="21" spans="1:4">
      <c r="A21" s="31" t="s">
        <v>206</v>
      </c>
      <c r="B21" s="34">
        <v>390283.17</v>
      </c>
      <c r="C21" s="34">
        <v>21988.1636</v>
      </c>
      <c r="D21" s="35">
        <v>5.6300000000000003E-2</v>
      </c>
    </row>
    <row r="22" spans="1:4">
      <c r="A22" s="31" t="s">
        <v>209</v>
      </c>
      <c r="B22" s="34">
        <v>316628.71999999997</v>
      </c>
      <c r="C22" s="34">
        <v>20236.63465</v>
      </c>
      <c r="D22" s="35">
        <v>6.3899999999999998E-2</v>
      </c>
    </row>
    <row r="23" spans="1:4">
      <c r="A23" s="31" t="s">
        <v>179</v>
      </c>
      <c r="B23" s="34">
        <v>54750</v>
      </c>
      <c r="C23" s="34">
        <v>2606.875</v>
      </c>
      <c r="D23" s="35">
        <v>4.7600000000000003E-2</v>
      </c>
    </row>
    <row r="24" spans="1:4">
      <c r="A24" s="31" t="s">
        <v>192</v>
      </c>
      <c r="B24" s="34">
        <v>9000</v>
      </c>
      <c r="C24" s="34">
        <v>382.5</v>
      </c>
      <c r="D24" s="35">
        <v>4.2500000000000003E-2</v>
      </c>
    </row>
    <row r="25" spans="1:4">
      <c r="A25" s="31" t="s">
        <v>194</v>
      </c>
      <c r="B25" s="34">
        <v>577277.78</v>
      </c>
      <c r="C25" s="34">
        <v>52172.222399999999</v>
      </c>
      <c r="D25" s="35">
        <v>9.0399999999999994E-2</v>
      </c>
    </row>
    <row r="26" spans="1:4">
      <c r="A26" s="31" t="s">
        <v>233</v>
      </c>
      <c r="B26" s="34">
        <v>290225</v>
      </c>
      <c r="C26" s="34">
        <v>41371</v>
      </c>
      <c r="D26" s="35">
        <v>0.14249999999999999</v>
      </c>
    </row>
    <row r="27" spans="1:4">
      <c r="A27" s="31" t="s">
        <v>213</v>
      </c>
      <c r="B27" s="34">
        <v>0</v>
      </c>
      <c r="C27" s="34">
        <v>0</v>
      </c>
      <c r="D27" s="36" t="e">
        <v>#DIV/0!</v>
      </c>
    </row>
    <row r="28" spans="1:4">
      <c r="A28" s="31" t="s">
        <v>255</v>
      </c>
      <c r="B28" s="34">
        <v>3500000</v>
      </c>
      <c r="C28" s="34">
        <v>195000</v>
      </c>
      <c r="D28" s="35">
        <v>5.57E-2</v>
      </c>
    </row>
    <row r="29" spans="1:4">
      <c r="A29" s="31" t="s">
        <v>224</v>
      </c>
      <c r="B29" s="34">
        <v>803656</v>
      </c>
      <c r="C29" s="34">
        <v>75810.759999999995</v>
      </c>
      <c r="D29" s="35">
        <v>9.4299999999999995E-2</v>
      </c>
    </row>
    <row r="30" spans="1:4">
      <c r="A30" s="31" t="s">
        <v>177</v>
      </c>
      <c r="B30" s="34">
        <v>11679</v>
      </c>
      <c r="C30" s="34">
        <v>1896.875</v>
      </c>
      <c r="D30" s="35">
        <v>0.16239999999999999</v>
      </c>
    </row>
    <row r="31" spans="1:4">
      <c r="A31" s="31" t="s">
        <v>184</v>
      </c>
      <c r="B31" s="34">
        <v>0</v>
      </c>
      <c r="C31" s="34">
        <v>0</v>
      </c>
      <c r="D31" s="36" t="e">
        <v>#DIV/0!</v>
      </c>
    </row>
    <row r="32" spans="1:4">
      <c r="A32" s="31" t="s">
        <v>202</v>
      </c>
      <c r="B32" s="34">
        <v>27114.97</v>
      </c>
      <c r="C32" s="34">
        <v>1626.8982000000001</v>
      </c>
      <c r="D32" s="35">
        <v>0.06</v>
      </c>
    </row>
    <row r="33" spans="1:4">
      <c r="A33" s="31" t="s">
        <v>188</v>
      </c>
      <c r="B33" s="34">
        <v>6913.3</v>
      </c>
      <c r="C33" s="34">
        <v>538.07860000000005</v>
      </c>
      <c r="D33" s="35">
        <v>7.7799999999999994E-2</v>
      </c>
    </row>
    <row r="34" spans="1:4">
      <c r="A34" s="31" t="s">
        <v>253</v>
      </c>
      <c r="B34" s="34">
        <v>50.86</v>
      </c>
      <c r="C34" s="34">
        <v>4.2277500000000003</v>
      </c>
      <c r="D34" s="35">
        <v>8.3099999999999993E-2</v>
      </c>
    </row>
    <row r="35" spans="1:4">
      <c r="A35" s="31" t="s">
        <v>284</v>
      </c>
      <c r="B35" s="34">
        <v>199.57</v>
      </c>
      <c r="C35" s="34">
        <v>1.9957</v>
      </c>
      <c r="D35" s="35">
        <v>0.01</v>
      </c>
    </row>
    <row r="36" spans="1:4">
      <c r="A36" s="31" t="s">
        <v>243</v>
      </c>
      <c r="B36" s="34">
        <v>37500</v>
      </c>
      <c r="C36" s="34">
        <v>3500</v>
      </c>
      <c r="D36" s="35">
        <v>9.3299999999999994E-2</v>
      </c>
    </row>
    <row r="37" spans="1:4">
      <c r="A37" s="31" t="s">
        <v>197</v>
      </c>
      <c r="B37" s="34">
        <v>55000</v>
      </c>
      <c r="C37" s="34">
        <v>2750</v>
      </c>
      <c r="D37" s="35">
        <v>0.05</v>
      </c>
    </row>
    <row r="38" spans="1:4">
      <c r="A38" s="31" t="s">
        <v>242</v>
      </c>
      <c r="B38" s="34">
        <v>0</v>
      </c>
      <c r="C38" s="34">
        <v>0</v>
      </c>
      <c r="D38" s="36" t="e">
        <v>#DIV/0!</v>
      </c>
    </row>
    <row r="39" spans="1:4">
      <c r="A39" s="31" t="s">
        <v>254</v>
      </c>
      <c r="B39" s="34">
        <v>21000</v>
      </c>
      <c r="C39" s="34">
        <v>835.5</v>
      </c>
      <c r="D39" s="35">
        <v>3.9800000000000002E-2</v>
      </c>
    </row>
    <row r="40" spans="1:4">
      <c r="A40" s="31" t="s">
        <v>236</v>
      </c>
      <c r="B40" s="34">
        <v>99482.76</v>
      </c>
      <c r="C40" s="34">
        <v>14653.4485</v>
      </c>
      <c r="D40" s="35">
        <v>0.14729999999999999</v>
      </c>
    </row>
    <row r="41" spans="1:4">
      <c r="A41" s="31" t="s">
        <v>285</v>
      </c>
      <c r="B41" s="34">
        <v>0</v>
      </c>
      <c r="C41" s="34">
        <v>0</v>
      </c>
      <c r="D41" s="36" t="e">
        <v>#DIV/0!</v>
      </c>
    </row>
    <row r="42" spans="1:4">
      <c r="A42" s="31" t="s">
        <v>151</v>
      </c>
      <c r="B42" s="34">
        <v>2000000</v>
      </c>
      <c r="C42" s="34">
        <v>0</v>
      </c>
      <c r="D42" s="35">
        <v>0</v>
      </c>
    </row>
    <row r="43" spans="1:4">
      <c r="A43" s="31" t="s">
        <v>190</v>
      </c>
      <c r="B43" s="34">
        <v>946377.72</v>
      </c>
      <c r="C43" s="34">
        <v>119594.43</v>
      </c>
      <c r="D43" s="35">
        <v>0.12640000000000001</v>
      </c>
    </row>
    <row r="44" spans="1:4">
      <c r="A44" s="31" t="s">
        <v>203</v>
      </c>
      <c r="B44" s="34">
        <v>25000000</v>
      </c>
      <c r="C44" s="34">
        <v>2500000</v>
      </c>
      <c r="D44" s="35">
        <v>0.1</v>
      </c>
    </row>
    <row r="45" spans="1:4">
      <c r="A45" s="31" t="s">
        <v>221</v>
      </c>
      <c r="B45" s="34">
        <v>225</v>
      </c>
      <c r="C45" s="34">
        <v>10.125</v>
      </c>
      <c r="D45" s="35">
        <v>4.4999999999999998E-2</v>
      </c>
    </row>
    <row r="46" spans="1:4">
      <c r="A46" s="37"/>
      <c r="B46" s="37"/>
      <c r="C46" s="37"/>
      <c r="D46" s="37"/>
    </row>
    <row r="47" spans="1:4">
      <c r="A47" s="37"/>
      <c r="B47" s="37"/>
      <c r="C47" s="37"/>
      <c r="D47" s="37"/>
    </row>
    <row r="48" spans="1:4">
      <c r="A48" s="37"/>
      <c r="B48" s="37"/>
      <c r="C48" s="37"/>
      <c r="D48" s="37"/>
    </row>
    <row r="49" spans="1:4">
      <c r="A49" s="37"/>
      <c r="B49" s="37"/>
      <c r="C49" s="37"/>
      <c r="D49" s="37"/>
    </row>
    <row r="50" spans="1:4">
      <c r="A50" s="37"/>
      <c r="B50" s="37"/>
      <c r="C50" s="37"/>
      <c r="D50" s="37"/>
    </row>
    <row r="51" spans="1:4">
      <c r="A51" s="37"/>
      <c r="B51" s="37"/>
      <c r="C51" s="37"/>
      <c r="D51" s="37"/>
    </row>
    <row r="52" spans="1:4">
      <c r="A52" s="37"/>
      <c r="B52" s="37"/>
      <c r="C52" s="37"/>
      <c r="D52" s="37"/>
    </row>
    <row r="53" spans="1:4">
      <c r="A53" s="37"/>
      <c r="B53" s="37"/>
      <c r="C53" s="37"/>
      <c r="D53" s="37"/>
    </row>
    <row r="54" spans="1:4">
      <c r="A54" s="37"/>
      <c r="B54" s="37"/>
      <c r="C54" s="37"/>
      <c r="D54" s="37"/>
    </row>
    <row r="55" spans="1:4">
      <c r="A55" s="37"/>
      <c r="B55" s="37"/>
      <c r="C55" s="37"/>
      <c r="D55" s="37"/>
    </row>
    <row r="56" spans="1:4">
      <c r="A56" s="37"/>
      <c r="B56" s="37"/>
      <c r="C56" s="37"/>
      <c r="D56" s="37"/>
    </row>
    <row r="57" spans="1:4">
      <c r="A57" s="37"/>
      <c r="B57" s="37"/>
      <c r="C57" s="37"/>
      <c r="D57" s="3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U1002"/>
  <sheetViews>
    <sheetView workbookViewId="0"/>
  </sheetViews>
  <sheetFormatPr baseColWidth="10" defaultColWidth="12.6640625" defaultRowHeight="15" customHeight="1"/>
  <cols>
    <col min="5" max="6" width="14.1640625" customWidth="1"/>
  </cols>
  <sheetData>
    <row r="1" spans="1:21">
      <c r="A1" s="68" t="s">
        <v>286</v>
      </c>
      <c r="B1" s="69"/>
      <c r="C1" s="38"/>
      <c r="D1" s="68" t="s">
        <v>287</v>
      </c>
      <c r="E1" s="69"/>
      <c r="F1" s="69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2" spans="1:21">
      <c r="A2" s="70">
        <v>44267</v>
      </c>
      <c r="B2" s="69"/>
      <c r="C2" s="69"/>
      <c r="D2" s="69"/>
      <c r="E2" s="69"/>
      <c r="F2" s="69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1">
      <c r="A3" s="39" t="s">
        <v>288</v>
      </c>
      <c r="B3" s="39" t="s">
        <v>289</v>
      </c>
      <c r="C3" s="38"/>
      <c r="D3" s="40" t="s">
        <v>290</v>
      </c>
      <c r="E3" s="40" t="s">
        <v>291</v>
      </c>
      <c r="F3" s="39" t="s">
        <v>289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</row>
    <row r="4" spans="1:21">
      <c r="A4" s="41" t="s">
        <v>167</v>
      </c>
      <c r="B4" s="42">
        <v>0</v>
      </c>
      <c r="C4" s="43"/>
      <c r="D4" s="44" t="s">
        <v>204</v>
      </c>
      <c r="E4" s="45">
        <v>4.5700000000000003E-6</v>
      </c>
      <c r="F4" s="46">
        <f t="shared" ref="F4:F223" si="0">E4*24*365</f>
        <v>4.0033200000000005E-2</v>
      </c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</row>
    <row r="5" spans="1:21">
      <c r="A5" s="41" t="s">
        <v>292</v>
      </c>
      <c r="B5" s="42">
        <v>4.0899999999999999E-2</v>
      </c>
      <c r="C5" s="43"/>
      <c r="D5" s="44" t="s">
        <v>233</v>
      </c>
      <c r="E5" s="47">
        <v>6.28E-6</v>
      </c>
      <c r="F5" s="46">
        <f t="shared" si="0"/>
        <v>5.5012800000000001E-2</v>
      </c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</row>
    <row r="6" spans="1:21">
      <c r="A6" s="41" t="s">
        <v>293</v>
      </c>
      <c r="B6" s="42">
        <v>0</v>
      </c>
      <c r="C6" s="43"/>
      <c r="D6" s="44" t="s">
        <v>181</v>
      </c>
      <c r="E6" s="45">
        <v>9.9999999999999995E-7</v>
      </c>
      <c r="F6" s="46">
        <f t="shared" si="0"/>
        <v>8.7600000000000004E-3</v>
      </c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</row>
    <row r="7" spans="1:21">
      <c r="A7" s="41" t="s">
        <v>184</v>
      </c>
      <c r="B7" s="42">
        <v>4.02E-2</v>
      </c>
      <c r="C7" s="43"/>
      <c r="D7" s="44" t="s">
        <v>250</v>
      </c>
      <c r="E7" s="45">
        <v>9.9999999999999995E-7</v>
      </c>
      <c r="F7" s="46">
        <f t="shared" si="0"/>
        <v>8.7600000000000004E-3</v>
      </c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</row>
    <row r="8" spans="1:21">
      <c r="A8" s="41" t="s">
        <v>185</v>
      </c>
      <c r="B8" s="42">
        <v>0</v>
      </c>
      <c r="C8" s="43"/>
      <c r="D8" s="44" t="s">
        <v>179</v>
      </c>
      <c r="E8" s="45">
        <v>9.9999999999999995E-7</v>
      </c>
      <c r="F8" s="46">
        <f t="shared" si="0"/>
        <v>8.7600000000000004E-3</v>
      </c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</row>
    <row r="9" spans="1:21">
      <c r="A9" s="41" t="s">
        <v>186</v>
      </c>
      <c r="B9" s="42">
        <v>6.93E-2</v>
      </c>
      <c r="C9" s="43"/>
      <c r="D9" s="44" t="s">
        <v>284</v>
      </c>
      <c r="E9" s="45">
        <v>9.9999999999999995E-7</v>
      </c>
      <c r="F9" s="46">
        <f t="shared" si="0"/>
        <v>8.7600000000000004E-3</v>
      </c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</row>
    <row r="10" spans="1:21">
      <c r="A10" s="41" t="s">
        <v>192</v>
      </c>
      <c r="B10" s="42">
        <v>6.3500000000000001E-2</v>
      </c>
      <c r="C10" s="43"/>
      <c r="D10" s="44" t="s">
        <v>253</v>
      </c>
      <c r="E10" s="45">
        <v>1.3699999999999999E-5</v>
      </c>
      <c r="F10" s="46">
        <f t="shared" si="0"/>
        <v>0.12001199999999999</v>
      </c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</row>
    <row r="11" spans="1:21">
      <c r="A11" s="41" t="s">
        <v>196</v>
      </c>
      <c r="B11" s="42">
        <v>6.2799999999999995E-2</v>
      </c>
      <c r="C11" s="43"/>
      <c r="D11" s="44" t="s">
        <v>185</v>
      </c>
      <c r="E11" s="45">
        <v>1.7099999999999999E-6</v>
      </c>
      <c r="F11" s="46">
        <f t="shared" si="0"/>
        <v>1.4979599999999999E-2</v>
      </c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</row>
    <row r="12" spans="1:21">
      <c r="A12" s="41" t="s">
        <v>197</v>
      </c>
      <c r="B12" s="42">
        <v>0</v>
      </c>
      <c r="C12" s="43"/>
      <c r="D12" s="44" t="s">
        <v>198</v>
      </c>
      <c r="E12" s="45">
        <v>1.37E-6</v>
      </c>
      <c r="F12" s="46">
        <f t="shared" si="0"/>
        <v>1.2001199999999998E-2</v>
      </c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</row>
    <row r="13" spans="1:21">
      <c r="A13" s="41" t="s">
        <v>198</v>
      </c>
      <c r="B13" s="42">
        <v>0.12659999999999999</v>
      </c>
      <c r="C13" s="43"/>
      <c r="D13" s="44" t="s">
        <v>204</v>
      </c>
      <c r="E13" s="45">
        <v>6.0000000000000002E-6</v>
      </c>
      <c r="F13" s="46">
        <f t="shared" si="0"/>
        <v>5.2560000000000003E-2</v>
      </c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</row>
    <row r="14" spans="1:21">
      <c r="A14" s="41" t="s">
        <v>294</v>
      </c>
      <c r="B14" s="42">
        <v>0</v>
      </c>
      <c r="C14" s="43"/>
      <c r="D14" s="44" t="s">
        <v>233</v>
      </c>
      <c r="E14" s="45">
        <v>6.28E-6</v>
      </c>
      <c r="F14" s="46">
        <f t="shared" si="0"/>
        <v>5.5012800000000001E-2</v>
      </c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</row>
    <row r="15" spans="1:21">
      <c r="A15" s="41" t="s">
        <v>206</v>
      </c>
      <c r="B15" s="42">
        <v>5.5500000000000001E-2</v>
      </c>
      <c r="C15" s="43"/>
      <c r="D15" s="44" t="s">
        <v>181</v>
      </c>
      <c r="E15" s="45">
        <v>9.9999999999999995E-7</v>
      </c>
      <c r="F15" s="46">
        <f t="shared" si="0"/>
        <v>8.7600000000000004E-3</v>
      </c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</row>
    <row r="16" spans="1:21">
      <c r="A16" s="41" t="s">
        <v>209</v>
      </c>
      <c r="B16" s="42">
        <v>0</v>
      </c>
      <c r="C16" s="43"/>
      <c r="D16" s="44" t="s">
        <v>250</v>
      </c>
      <c r="E16" s="47">
        <v>9.9999999999999995E-7</v>
      </c>
      <c r="F16" s="46">
        <f t="shared" si="0"/>
        <v>8.7600000000000004E-3</v>
      </c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</row>
    <row r="17" spans="1:21">
      <c r="A17" s="41" t="s">
        <v>210</v>
      </c>
      <c r="B17" s="42">
        <v>0.1017</v>
      </c>
      <c r="C17" s="43"/>
      <c r="D17" s="44" t="s">
        <v>179</v>
      </c>
      <c r="E17" s="45">
        <v>9.9999999999999995E-7</v>
      </c>
      <c r="F17" s="46">
        <f t="shared" si="0"/>
        <v>8.7600000000000004E-3</v>
      </c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</row>
    <row r="18" spans="1:21">
      <c r="A18" s="41" t="s">
        <v>217</v>
      </c>
      <c r="B18" s="42">
        <v>0.33939999999999998</v>
      </c>
      <c r="C18" s="43"/>
      <c r="D18" s="44" t="s">
        <v>284</v>
      </c>
      <c r="E18" s="45">
        <v>9.9999999999999995E-7</v>
      </c>
      <c r="F18" s="46">
        <f t="shared" si="0"/>
        <v>8.7600000000000004E-3</v>
      </c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</row>
    <row r="19" spans="1:21">
      <c r="A19" s="41" t="s">
        <v>244</v>
      </c>
      <c r="B19" s="42">
        <v>4.0599999999999997E-2</v>
      </c>
      <c r="C19" s="43"/>
      <c r="D19" s="44" t="s">
        <v>253</v>
      </c>
      <c r="E19" s="45">
        <v>1.3699999999999999E-5</v>
      </c>
      <c r="F19" s="46">
        <f t="shared" si="0"/>
        <v>0.12001199999999999</v>
      </c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</row>
    <row r="20" spans="1:21">
      <c r="A20" s="41" t="s">
        <v>245</v>
      </c>
      <c r="B20" s="42">
        <v>6.59E-2</v>
      </c>
      <c r="C20" s="43"/>
      <c r="D20" s="44" t="s">
        <v>198</v>
      </c>
      <c r="E20" s="45">
        <v>1.37E-6</v>
      </c>
      <c r="F20" s="46">
        <f t="shared" si="0"/>
        <v>1.2001199999999998E-2</v>
      </c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</row>
    <row r="21" spans="1:21">
      <c r="A21" s="48" t="s">
        <v>247</v>
      </c>
      <c r="B21" s="42">
        <v>0.2455</v>
      </c>
      <c r="C21" s="48" t="s">
        <v>247</v>
      </c>
      <c r="D21" s="44" t="s">
        <v>204</v>
      </c>
      <c r="E21" s="45">
        <v>4.5700000000000003E-6</v>
      </c>
      <c r="F21" s="46">
        <f t="shared" si="0"/>
        <v>4.0033200000000005E-2</v>
      </c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</row>
    <row r="22" spans="1:21">
      <c r="A22" s="41" t="s">
        <v>251</v>
      </c>
      <c r="B22" s="42">
        <v>5.0799999999999998E-2</v>
      </c>
      <c r="C22" s="43"/>
      <c r="D22" s="44" t="s">
        <v>233</v>
      </c>
      <c r="E22" s="45">
        <v>6.28E-6</v>
      </c>
      <c r="F22" s="46">
        <f t="shared" si="0"/>
        <v>5.5012800000000001E-2</v>
      </c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</row>
    <row r="23" spans="1:21">
      <c r="A23" s="41" t="s">
        <v>252</v>
      </c>
      <c r="B23" s="42">
        <v>6.6E-3</v>
      </c>
      <c r="C23" s="43"/>
      <c r="D23" s="44" t="s">
        <v>181</v>
      </c>
      <c r="E23" s="45">
        <v>9.9999999999999995E-7</v>
      </c>
      <c r="F23" s="46">
        <f t="shared" si="0"/>
        <v>8.7600000000000004E-3</v>
      </c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</row>
    <row r="24" spans="1:21">
      <c r="A24" s="41" t="s">
        <v>253</v>
      </c>
      <c r="B24" s="42">
        <v>0.22600000000000001</v>
      </c>
      <c r="C24" s="43"/>
      <c r="D24" s="44" t="s">
        <v>250</v>
      </c>
      <c r="E24" s="45">
        <v>9.9999999999999995E-7</v>
      </c>
      <c r="F24" s="46">
        <f t="shared" si="0"/>
        <v>8.7600000000000004E-3</v>
      </c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</row>
    <row r="25" spans="1:21">
      <c r="A25" s="41" t="s">
        <v>254</v>
      </c>
      <c r="B25" s="42">
        <v>0</v>
      </c>
      <c r="C25" s="43"/>
      <c r="D25" s="44" t="s">
        <v>179</v>
      </c>
      <c r="E25" s="45">
        <v>9.9999999999999995E-7</v>
      </c>
      <c r="F25" s="46">
        <f t="shared" si="0"/>
        <v>8.7600000000000004E-3</v>
      </c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</row>
    <row r="26" spans="1:21">
      <c r="A26" s="41" t="s">
        <v>255</v>
      </c>
      <c r="B26" s="42">
        <v>4.8599999999999997E-2</v>
      </c>
      <c r="C26" s="43"/>
      <c r="D26" s="44" t="s">
        <v>284</v>
      </c>
      <c r="E26" s="45">
        <v>9.9999999999999995E-7</v>
      </c>
      <c r="F26" s="46">
        <f t="shared" si="0"/>
        <v>8.7600000000000004E-3</v>
      </c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</row>
    <row r="27" spans="1:21">
      <c r="A27" s="38"/>
      <c r="B27" s="38"/>
      <c r="C27" s="38"/>
      <c r="D27" s="44" t="s">
        <v>253</v>
      </c>
      <c r="E27" s="45">
        <v>1.3699999999999999E-5</v>
      </c>
      <c r="F27" s="46">
        <f t="shared" si="0"/>
        <v>0.12001199999999999</v>
      </c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</row>
    <row r="28" spans="1:21">
      <c r="A28" s="38"/>
      <c r="B28" s="38"/>
      <c r="C28" s="38"/>
      <c r="D28" s="44" t="s">
        <v>198</v>
      </c>
      <c r="E28" s="45">
        <v>1.37E-6</v>
      </c>
      <c r="F28" s="46">
        <f t="shared" si="0"/>
        <v>1.2001199999999998E-2</v>
      </c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</row>
    <row r="29" spans="1:21">
      <c r="A29" s="38"/>
      <c r="B29" s="38"/>
      <c r="C29" s="38"/>
      <c r="D29" s="44" t="s">
        <v>204</v>
      </c>
      <c r="E29" s="47">
        <v>4.5700000000000003E-6</v>
      </c>
      <c r="F29" s="46">
        <f t="shared" si="0"/>
        <v>4.0033200000000005E-2</v>
      </c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</row>
    <row r="30" spans="1:21">
      <c r="A30" s="38"/>
      <c r="B30" s="38"/>
      <c r="C30" s="38"/>
      <c r="D30" s="44" t="s">
        <v>233</v>
      </c>
      <c r="E30" s="45">
        <v>6.28E-6</v>
      </c>
      <c r="F30" s="46">
        <f t="shared" si="0"/>
        <v>5.5012800000000001E-2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</row>
    <row r="31" spans="1:21">
      <c r="A31" s="38"/>
      <c r="B31" s="38"/>
      <c r="C31" s="38"/>
      <c r="D31" s="44" t="s">
        <v>181</v>
      </c>
      <c r="E31" s="45">
        <v>9.9999999999999995E-7</v>
      </c>
      <c r="F31" s="46">
        <f t="shared" si="0"/>
        <v>8.7600000000000004E-3</v>
      </c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</row>
    <row r="32" spans="1:21">
      <c r="A32" s="38"/>
      <c r="B32" s="38"/>
      <c r="C32" s="38"/>
      <c r="D32" s="44" t="s">
        <v>250</v>
      </c>
      <c r="E32" s="45">
        <v>9.9999999999999995E-7</v>
      </c>
      <c r="F32" s="46">
        <f t="shared" si="0"/>
        <v>8.7600000000000004E-3</v>
      </c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</row>
    <row r="33" spans="1:21">
      <c r="A33" s="38"/>
      <c r="B33" s="38"/>
      <c r="C33" s="38"/>
      <c r="D33" s="44" t="s">
        <v>179</v>
      </c>
      <c r="E33" s="45">
        <v>9.9999999999999995E-7</v>
      </c>
      <c r="F33" s="46">
        <f t="shared" si="0"/>
        <v>8.7600000000000004E-3</v>
      </c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</row>
    <row r="34" spans="1:21">
      <c r="A34" s="38"/>
      <c r="B34" s="38"/>
      <c r="C34" s="38"/>
      <c r="D34" s="44" t="s">
        <v>284</v>
      </c>
      <c r="E34" s="45">
        <v>9.9999999999999995E-7</v>
      </c>
      <c r="F34" s="46">
        <f t="shared" si="0"/>
        <v>8.7600000000000004E-3</v>
      </c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</row>
    <row r="35" spans="1:21">
      <c r="A35" s="38"/>
      <c r="B35" s="38"/>
      <c r="C35" s="38"/>
      <c r="D35" s="44" t="s">
        <v>253</v>
      </c>
      <c r="E35" s="45">
        <v>1.3699999999999999E-5</v>
      </c>
      <c r="F35" s="46">
        <f t="shared" si="0"/>
        <v>0.12001199999999999</v>
      </c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</row>
    <row r="36" spans="1:21">
      <c r="A36" s="38"/>
      <c r="B36" s="38"/>
      <c r="C36" s="38"/>
      <c r="D36" s="44" t="s">
        <v>198</v>
      </c>
      <c r="E36" s="45">
        <v>1.37E-6</v>
      </c>
      <c r="F36" s="46">
        <f t="shared" si="0"/>
        <v>1.2001199999999998E-2</v>
      </c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</row>
    <row r="37" spans="1:21">
      <c r="A37" s="38"/>
      <c r="B37" s="38"/>
      <c r="C37" s="38"/>
      <c r="D37" s="44" t="s">
        <v>204</v>
      </c>
      <c r="E37" s="45">
        <v>4.5700000000000003E-6</v>
      </c>
      <c r="F37" s="46">
        <f t="shared" si="0"/>
        <v>4.0033200000000005E-2</v>
      </c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</row>
    <row r="38" spans="1:21">
      <c r="A38" s="38"/>
      <c r="B38" s="38"/>
      <c r="C38" s="38"/>
      <c r="D38" s="44" t="s">
        <v>233</v>
      </c>
      <c r="E38" s="45">
        <v>6.28E-6</v>
      </c>
      <c r="F38" s="46">
        <f t="shared" si="0"/>
        <v>5.5012800000000001E-2</v>
      </c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</row>
    <row r="39" spans="1:21">
      <c r="A39" s="38"/>
      <c r="B39" s="38"/>
      <c r="C39" s="38"/>
      <c r="D39" s="44" t="s">
        <v>181</v>
      </c>
      <c r="E39" s="45">
        <v>9.9999999999999995E-7</v>
      </c>
      <c r="F39" s="46">
        <f t="shared" si="0"/>
        <v>8.7600000000000004E-3</v>
      </c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</row>
    <row r="40" spans="1:21">
      <c r="A40" s="38"/>
      <c r="B40" s="38"/>
      <c r="C40" s="38"/>
      <c r="D40" s="44" t="s">
        <v>250</v>
      </c>
      <c r="E40" s="47">
        <v>9.9999999999999995E-7</v>
      </c>
      <c r="F40" s="46">
        <f t="shared" si="0"/>
        <v>8.7600000000000004E-3</v>
      </c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</row>
    <row r="41" spans="1:21">
      <c r="A41" s="38"/>
      <c r="B41" s="38"/>
      <c r="C41" s="38"/>
      <c r="D41" s="44" t="s">
        <v>179</v>
      </c>
      <c r="E41" s="45">
        <v>9.9999999999999995E-7</v>
      </c>
      <c r="F41" s="46">
        <f t="shared" si="0"/>
        <v>8.7600000000000004E-3</v>
      </c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</row>
    <row r="42" spans="1:21">
      <c r="A42" s="38"/>
      <c r="B42" s="38"/>
      <c r="C42" s="38"/>
      <c r="D42" s="44" t="s">
        <v>284</v>
      </c>
      <c r="E42" s="45">
        <v>9.9999999999999995E-7</v>
      </c>
      <c r="F42" s="46">
        <f t="shared" si="0"/>
        <v>8.7600000000000004E-3</v>
      </c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</row>
    <row r="43" spans="1:21">
      <c r="A43" s="38"/>
      <c r="B43" s="38"/>
      <c r="C43" s="38"/>
      <c r="D43" s="44" t="s">
        <v>253</v>
      </c>
      <c r="E43" s="45">
        <v>1.3699999999999999E-5</v>
      </c>
      <c r="F43" s="46">
        <f t="shared" si="0"/>
        <v>0.12001199999999999</v>
      </c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</row>
    <row r="44" spans="1:21">
      <c r="A44" s="38"/>
      <c r="B44" s="38"/>
      <c r="C44" s="38"/>
      <c r="D44" s="44" t="s">
        <v>198</v>
      </c>
      <c r="E44" s="45">
        <v>1.37E-6</v>
      </c>
      <c r="F44" s="46">
        <f t="shared" si="0"/>
        <v>1.2001199999999998E-2</v>
      </c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</row>
    <row r="45" spans="1:21">
      <c r="A45" s="38"/>
      <c r="B45" s="38"/>
      <c r="C45" s="38"/>
      <c r="D45" s="44" t="s">
        <v>204</v>
      </c>
      <c r="E45" s="45">
        <v>4.5700000000000003E-6</v>
      </c>
      <c r="F45" s="46">
        <f t="shared" si="0"/>
        <v>4.0033200000000005E-2</v>
      </c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</row>
    <row r="46" spans="1:21">
      <c r="A46" s="38"/>
      <c r="B46" s="38"/>
      <c r="C46" s="38"/>
      <c r="D46" s="44" t="s">
        <v>233</v>
      </c>
      <c r="E46" s="45">
        <v>6.28E-6</v>
      </c>
      <c r="F46" s="46">
        <f t="shared" si="0"/>
        <v>5.5012800000000001E-2</v>
      </c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</row>
    <row r="47" spans="1:21">
      <c r="A47" s="38"/>
      <c r="B47" s="38"/>
      <c r="C47" s="38"/>
      <c r="D47" s="44" t="s">
        <v>181</v>
      </c>
      <c r="E47" s="45">
        <v>9.9999999999999995E-7</v>
      </c>
      <c r="F47" s="46">
        <f t="shared" si="0"/>
        <v>8.7600000000000004E-3</v>
      </c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</row>
    <row r="48" spans="1:21">
      <c r="A48" s="38"/>
      <c r="B48" s="38"/>
      <c r="C48" s="38"/>
      <c r="D48" s="44" t="s">
        <v>250</v>
      </c>
      <c r="E48" s="45">
        <v>9.9999999999999995E-7</v>
      </c>
      <c r="F48" s="46">
        <f t="shared" si="0"/>
        <v>8.7600000000000004E-3</v>
      </c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</row>
    <row r="49" spans="1:21">
      <c r="A49" s="38"/>
      <c r="B49" s="38"/>
      <c r="C49" s="38"/>
      <c r="D49" s="44" t="s">
        <v>179</v>
      </c>
      <c r="E49" s="45">
        <v>9.9999999999999995E-7</v>
      </c>
      <c r="F49" s="46">
        <f t="shared" si="0"/>
        <v>8.7600000000000004E-3</v>
      </c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</row>
    <row r="50" spans="1:21">
      <c r="A50" s="38"/>
      <c r="B50" s="38"/>
      <c r="C50" s="38"/>
      <c r="D50" s="44" t="s">
        <v>284</v>
      </c>
      <c r="E50" s="45">
        <v>9.9999999999999995E-7</v>
      </c>
      <c r="F50" s="46">
        <f t="shared" si="0"/>
        <v>8.7600000000000004E-3</v>
      </c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</row>
    <row r="51" spans="1:21">
      <c r="A51" s="38"/>
      <c r="B51" s="38"/>
      <c r="C51" s="38"/>
      <c r="D51" s="44" t="s">
        <v>253</v>
      </c>
      <c r="E51" s="45">
        <v>1.3699999999999999E-5</v>
      </c>
      <c r="F51" s="46">
        <f t="shared" si="0"/>
        <v>0.12001199999999999</v>
      </c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</row>
    <row r="52" spans="1:21">
      <c r="A52" s="38"/>
      <c r="B52" s="38"/>
      <c r="C52" s="38"/>
      <c r="D52" s="44" t="s">
        <v>198</v>
      </c>
      <c r="E52" s="47">
        <v>1.37E-6</v>
      </c>
      <c r="F52" s="46">
        <f t="shared" si="0"/>
        <v>1.2001199999999998E-2</v>
      </c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>
      <c r="A53" s="38"/>
      <c r="B53" s="38"/>
      <c r="C53" s="38"/>
      <c r="D53" s="44" t="s">
        <v>204</v>
      </c>
      <c r="E53" s="45">
        <v>4.5700000000000003E-6</v>
      </c>
      <c r="F53" s="46">
        <f t="shared" si="0"/>
        <v>4.0033200000000005E-2</v>
      </c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</row>
    <row r="54" spans="1:21">
      <c r="A54" s="38"/>
      <c r="B54" s="38"/>
      <c r="C54" s="38"/>
      <c r="D54" s="44" t="s">
        <v>233</v>
      </c>
      <c r="E54" s="45">
        <v>6.28E-6</v>
      </c>
      <c r="F54" s="46">
        <f t="shared" si="0"/>
        <v>5.5012800000000001E-2</v>
      </c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</row>
    <row r="55" spans="1:21">
      <c r="A55" s="38"/>
      <c r="B55" s="38"/>
      <c r="C55" s="38"/>
      <c r="D55" s="44" t="s">
        <v>181</v>
      </c>
      <c r="E55" s="45">
        <v>9.9999999999999995E-7</v>
      </c>
      <c r="F55" s="46">
        <f t="shared" si="0"/>
        <v>8.7600000000000004E-3</v>
      </c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</row>
    <row r="56" spans="1:21">
      <c r="A56" s="38"/>
      <c r="B56" s="38"/>
      <c r="C56" s="38"/>
      <c r="D56" s="44" t="s">
        <v>250</v>
      </c>
      <c r="E56" s="45">
        <v>9.9999999999999995E-7</v>
      </c>
      <c r="F56" s="46">
        <f t="shared" si="0"/>
        <v>8.7600000000000004E-3</v>
      </c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</row>
    <row r="57" spans="1:21">
      <c r="A57" s="38"/>
      <c r="B57" s="38"/>
      <c r="C57" s="38"/>
      <c r="D57" s="44" t="s">
        <v>179</v>
      </c>
      <c r="E57" s="45">
        <v>9.9999999999999995E-7</v>
      </c>
      <c r="F57" s="46">
        <f t="shared" si="0"/>
        <v>8.7600000000000004E-3</v>
      </c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>
      <c r="A58" s="38"/>
      <c r="B58" s="38"/>
      <c r="C58" s="38"/>
      <c r="D58" s="44" t="s">
        <v>284</v>
      </c>
      <c r="E58" s="45">
        <v>9.9999999999999995E-7</v>
      </c>
      <c r="F58" s="46">
        <f t="shared" si="0"/>
        <v>8.7600000000000004E-3</v>
      </c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</row>
    <row r="59" spans="1:21">
      <c r="A59" s="38"/>
      <c r="B59" s="38"/>
      <c r="C59" s="38"/>
      <c r="D59" s="44" t="s">
        <v>253</v>
      </c>
      <c r="E59" s="45">
        <v>1.3699999999999999E-5</v>
      </c>
      <c r="F59" s="46">
        <f t="shared" si="0"/>
        <v>0.12001199999999999</v>
      </c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</row>
    <row r="60" spans="1:21">
      <c r="A60" s="38"/>
      <c r="B60" s="38"/>
      <c r="C60" s="38"/>
      <c r="D60" s="44" t="s">
        <v>198</v>
      </c>
      <c r="E60" s="45">
        <v>1.37E-6</v>
      </c>
      <c r="F60" s="46">
        <f t="shared" si="0"/>
        <v>1.2001199999999998E-2</v>
      </c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</row>
    <row r="61" spans="1:21">
      <c r="A61" s="38"/>
      <c r="B61" s="38"/>
      <c r="C61" s="38"/>
      <c r="D61" s="44" t="s">
        <v>204</v>
      </c>
      <c r="E61" s="45">
        <v>4.5700000000000003E-6</v>
      </c>
      <c r="F61" s="46">
        <f t="shared" si="0"/>
        <v>4.0033200000000005E-2</v>
      </c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</row>
    <row r="62" spans="1:21">
      <c r="A62" s="38"/>
      <c r="B62" s="38"/>
      <c r="C62" s="38"/>
      <c r="D62" s="44" t="s">
        <v>233</v>
      </c>
      <c r="E62" s="45">
        <v>6.28E-6</v>
      </c>
      <c r="F62" s="46">
        <f t="shared" si="0"/>
        <v>5.5012800000000001E-2</v>
      </c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</row>
    <row r="63" spans="1:21">
      <c r="A63" s="38"/>
      <c r="B63" s="38"/>
      <c r="C63" s="38"/>
      <c r="D63" s="44" t="s">
        <v>181</v>
      </c>
      <c r="E63" s="45">
        <v>9.9999999999999995E-7</v>
      </c>
      <c r="F63" s="46">
        <f t="shared" si="0"/>
        <v>8.7600000000000004E-3</v>
      </c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</row>
    <row r="64" spans="1:21">
      <c r="A64" s="38"/>
      <c r="B64" s="38"/>
      <c r="C64" s="38"/>
      <c r="D64" s="44" t="s">
        <v>250</v>
      </c>
      <c r="E64" s="47">
        <v>9.9999999999999995E-7</v>
      </c>
      <c r="F64" s="46">
        <f t="shared" si="0"/>
        <v>8.7600000000000004E-3</v>
      </c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</row>
    <row r="65" spans="1:21">
      <c r="A65" s="38"/>
      <c r="B65" s="38"/>
      <c r="C65" s="38"/>
      <c r="D65" s="44" t="s">
        <v>179</v>
      </c>
      <c r="E65" s="45">
        <v>9.9999999999999995E-7</v>
      </c>
      <c r="F65" s="46">
        <f t="shared" si="0"/>
        <v>8.7600000000000004E-3</v>
      </c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</row>
    <row r="66" spans="1:21">
      <c r="A66" s="38"/>
      <c r="B66" s="38"/>
      <c r="C66" s="38"/>
      <c r="D66" s="44" t="s">
        <v>284</v>
      </c>
      <c r="E66" s="45">
        <v>9.9999999999999995E-7</v>
      </c>
      <c r="F66" s="46">
        <f t="shared" si="0"/>
        <v>8.7600000000000004E-3</v>
      </c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</row>
    <row r="67" spans="1:21">
      <c r="A67" s="38"/>
      <c r="B67" s="38"/>
      <c r="C67" s="38"/>
      <c r="D67" s="44" t="s">
        <v>253</v>
      </c>
      <c r="E67" s="45">
        <v>1.3699999999999999E-5</v>
      </c>
      <c r="F67" s="46">
        <f t="shared" si="0"/>
        <v>0.12001199999999999</v>
      </c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>
      <c r="A68" s="38"/>
      <c r="B68" s="38"/>
      <c r="C68" s="38"/>
      <c r="D68" s="44" t="s">
        <v>198</v>
      </c>
      <c r="E68" s="45">
        <v>1.37E-6</v>
      </c>
      <c r="F68" s="46">
        <f t="shared" si="0"/>
        <v>1.2001199999999998E-2</v>
      </c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</row>
    <row r="69" spans="1:21">
      <c r="A69" s="38"/>
      <c r="B69" s="38"/>
      <c r="C69" s="38"/>
      <c r="D69" s="44" t="s">
        <v>204</v>
      </c>
      <c r="E69" s="45">
        <v>4.5700000000000003E-6</v>
      </c>
      <c r="F69" s="46">
        <f t="shared" si="0"/>
        <v>4.0033200000000005E-2</v>
      </c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</row>
    <row r="70" spans="1:21">
      <c r="A70" s="38"/>
      <c r="B70" s="38"/>
      <c r="C70" s="38"/>
      <c r="D70" s="44" t="s">
        <v>233</v>
      </c>
      <c r="E70" s="45">
        <v>6.28E-6</v>
      </c>
      <c r="F70" s="46">
        <f t="shared" si="0"/>
        <v>5.5012800000000001E-2</v>
      </c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</row>
    <row r="71" spans="1:21">
      <c r="A71" s="38"/>
      <c r="B71" s="38"/>
      <c r="C71" s="38"/>
      <c r="D71" s="44" t="s">
        <v>181</v>
      </c>
      <c r="E71" s="45">
        <v>9.9999999999999995E-7</v>
      </c>
      <c r="F71" s="46">
        <f t="shared" si="0"/>
        <v>8.7600000000000004E-3</v>
      </c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</row>
    <row r="72" spans="1:21">
      <c r="A72" s="38"/>
      <c r="B72" s="38"/>
      <c r="C72" s="38"/>
      <c r="D72" s="44" t="s">
        <v>250</v>
      </c>
      <c r="E72" s="45">
        <v>9.9999999999999995E-7</v>
      </c>
      <c r="F72" s="46">
        <f t="shared" si="0"/>
        <v>8.7600000000000004E-3</v>
      </c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>
      <c r="A73" s="38"/>
      <c r="B73" s="38"/>
      <c r="C73" s="38"/>
      <c r="D73" s="44" t="s">
        <v>179</v>
      </c>
      <c r="E73" s="45">
        <v>9.9999999999999995E-7</v>
      </c>
      <c r="F73" s="46">
        <f t="shared" si="0"/>
        <v>8.7600000000000004E-3</v>
      </c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</row>
    <row r="74" spans="1:21">
      <c r="A74" s="38"/>
      <c r="B74" s="38"/>
      <c r="C74" s="38"/>
      <c r="D74" s="44" t="s">
        <v>284</v>
      </c>
      <c r="E74" s="45">
        <v>9.9999999999999995E-7</v>
      </c>
      <c r="F74" s="46">
        <f t="shared" si="0"/>
        <v>8.7600000000000004E-3</v>
      </c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</row>
    <row r="75" spans="1:21">
      <c r="A75" s="38"/>
      <c r="B75" s="38"/>
      <c r="C75" s="38"/>
      <c r="D75" s="44" t="s">
        <v>253</v>
      </c>
      <c r="E75" s="45">
        <v>1.3699999999999999E-5</v>
      </c>
      <c r="F75" s="46">
        <f t="shared" si="0"/>
        <v>0.12001199999999999</v>
      </c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</row>
    <row r="76" spans="1:21">
      <c r="A76" s="38"/>
      <c r="B76" s="38"/>
      <c r="C76" s="38"/>
      <c r="D76" s="44" t="s">
        <v>198</v>
      </c>
      <c r="E76" s="47">
        <v>1.37E-6</v>
      </c>
      <c r="F76" s="46">
        <f t="shared" si="0"/>
        <v>1.2001199999999998E-2</v>
      </c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</row>
    <row r="77" spans="1:21">
      <c r="A77" s="38"/>
      <c r="B77" s="38"/>
      <c r="C77" s="38"/>
      <c r="D77" s="44" t="s">
        <v>204</v>
      </c>
      <c r="E77" s="45">
        <v>4.5700000000000003E-6</v>
      </c>
      <c r="F77" s="46">
        <f t="shared" si="0"/>
        <v>4.0033200000000005E-2</v>
      </c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>
      <c r="A78" s="38"/>
      <c r="B78" s="38"/>
      <c r="C78" s="38"/>
      <c r="D78" s="44" t="s">
        <v>233</v>
      </c>
      <c r="E78" s="45">
        <v>6.28E-6</v>
      </c>
      <c r="F78" s="46">
        <f t="shared" si="0"/>
        <v>5.5012800000000001E-2</v>
      </c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</row>
    <row r="79" spans="1:21">
      <c r="A79" s="38"/>
      <c r="B79" s="38"/>
      <c r="C79" s="38"/>
      <c r="D79" s="44" t="s">
        <v>181</v>
      </c>
      <c r="E79" s="45">
        <v>9.9999999999999995E-7</v>
      </c>
      <c r="F79" s="46">
        <f t="shared" si="0"/>
        <v>8.7600000000000004E-3</v>
      </c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</row>
    <row r="80" spans="1:21">
      <c r="A80" s="38"/>
      <c r="B80" s="38"/>
      <c r="C80" s="38"/>
      <c r="D80" s="44" t="s">
        <v>250</v>
      </c>
      <c r="E80" s="45">
        <v>9.9999999999999995E-7</v>
      </c>
      <c r="F80" s="46">
        <f t="shared" si="0"/>
        <v>8.7600000000000004E-3</v>
      </c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</row>
    <row r="81" spans="1:21">
      <c r="A81" s="38"/>
      <c r="B81" s="38"/>
      <c r="C81" s="38"/>
      <c r="D81" s="44" t="s">
        <v>179</v>
      </c>
      <c r="E81" s="45">
        <v>9.9999999999999995E-7</v>
      </c>
      <c r="F81" s="46">
        <f t="shared" si="0"/>
        <v>8.7600000000000004E-3</v>
      </c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</row>
    <row r="82" spans="1:21">
      <c r="A82" s="38"/>
      <c r="B82" s="38"/>
      <c r="C82" s="38"/>
      <c r="D82" s="44" t="s">
        <v>284</v>
      </c>
      <c r="E82" s="45">
        <v>9.9999999999999995E-7</v>
      </c>
      <c r="F82" s="46">
        <f t="shared" si="0"/>
        <v>8.7600000000000004E-3</v>
      </c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>
      <c r="A83" s="38"/>
      <c r="B83" s="38"/>
      <c r="C83" s="38"/>
      <c r="D83" s="44" t="s">
        <v>253</v>
      </c>
      <c r="E83" s="45">
        <v>1.3699999999999999E-5</v>
      </c>
      <c r="F83" s="46">
        <f t="shared" si="0"/>
        <v>0.12001199999999999</v>
      </c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</row>
    <row r="84" spans="1:21">
      <c r="A84" s="38"/>
      <c r="B84" s="38"/>
      <c r="C84" s="38"/>
      <c r="D84" s="44" t="s">
        <v>198</v>
      </c>
      <c r="E84" s="45">
        <v>1.37E-6</v>
      </c>
      <c r="F84" s="46">
        <f t="shared" si="0"/>
        <v>1.2001199999999998E-2</v>
      </c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</row>
    <row r="85" spans="1:21">
      <c r="A85" s="38"/>
      <c r="B85" s="38"/>
      <c r="C85" s="38"/>
      <c r="D85" s="44" t="s">
        <v>204</v>
      </c>
      <c r="E85" s="45">
        <v>4.5700000000000003E-6</v>
      </c>
      <c r="F85" s="46">
        <f t="shared" si="0"/>
        <v>4.0033200000000005E-2</v>
      </c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</row>
    <row r="86" spans="1:21">
      <c r="A86" s="38"/>
      <c r="B86" s="38"/>
      <c r="C86" s="38"/>
      <c r="D86" s="44" t="s">
        <v>233</v>
      </c>
      <c r="E86" s="45">
        <v>6.28E-6</v>
      </c>
      <c r="F86" s="46">
        <f t="shared" si="0"/>
        <v>5.5012800000000001E-2</v>
      </c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</row>
    <row r="87" spans="1:21">
      <c r="A87" s="38"/>
      <c r="B87" s="38"/>
      <c r="C87" s="38"/>
      <c r="D87" s="44" t="s">
        <v>181</v>
      </c>
      <c r="E87" s="45">
        <v>9.9999999999999995E-7</v>
      </c>
      <c r="F87" s="46">
        <f t="shared" si="0"/>
        <v>8.7600000000000004E-3</v>
      </c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>
      <c r="A88" s="38"/>
      <c r="B88" s="38"/>
      <c r="C88" s="38"/>
      <c r="D88" s="44" t="s">
        <v>250</v>
      </c>
      <c r="E88" s="47">
        <v>9.9999999999999995E-7</v>
      </c>
      <c r="F88" s="46">
        <f t="shared" si="0"/>
        <v>8.7600000000000004E-3</v>
      </c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</row>
    <row r="89" spans="1:21">
      <c r="A89" s="38"/>
      <c r="B89" s="38"/>
      <c r="C89" s="38"/>
      <c r="D89" s="44" t="s">
        <v>179</v>
      </c>
      <c r="E89" s="45">
        <v>1.7119999999999999E-5</v>
      </c>
      <c r="F89" s="46">
        <f t="shared" si="0"/>
        <v>0.1499712</v>
      </c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</row>
    <row r="90" spans="1:21">
      <c r="A90" s="38"/>
      <c r="B90" s="38"/>
      <c r="C90" s="38"/>
      <c r="D90" s="44" t="s">
        <v>284</v>
      </c>
      <c r="E90" s="45">
        <v>9.9999999999999995E-7</v>
      </c>
      <c r="F90" s="46">
        <f t="shared" si="0"/>
        <v>8.7600000000000004E-3</v>
      </c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</row>
    <row r="91" spans="1:21">
      <c r="A91" s="38"/>
      <c r="B91" s="38"/>
      <c r="C91" s="38"/>
      <c r="D91" s="44" t="s">
        <v>253</v>
      </c>
      <c r="E91" s="45">
        <v>1.3699999999999999E-5</v>
      </c>
      <c r="F91" s="46">
        <f t="shared" si="0"/>
        <v>0.12001199999999999</v>
      </c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</row>
    <row r="92" spans="1:21">
      <c r="A92" s="38"/>
      <c r="B92" s="38"/>
      <c r="C92" s="38"/>
      <c r="D92" s="44" t="s">
        <v>198</v>
      </c>
      <c r="E92" s="45">
        <v>1.37E-6</v>
      </c>
      <c r="F92" s="46">
        <f t="shared" si="0"/>
        <v>1.2001199999999998E-2</v>
      </c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</row>
    <row r="93" spans="1:21">
      <c r="A93" s="38"/>
      <c r="B93" s="38"/>
      <c r="C93" s="38"/>
      <c r="D93" s="44" t="s">
        <v>204</v>
      </c>
      <c r="E93" s="45">
        <v>4.5700000000000003E-6</v>
      </c>
      <c r="F93" s="46">
        <f t="shared" si="0"/>
        <v>4.0033200000000005E-2</v>
      </c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</row>
    <row r="94" spans="1:21">
      <c r="A94" s="38"/>
      <c r="B94" s="38"/>
      <c r="C94" s="38"/>
      <c r="D94" s="44" t="s">
        <v>233</v>
      </c>
      <c r="E94" s="45">
        <v>6.28E-6</v>
      </c>
      <c r="F94" s="46">
        <f t="shared" si="0"/>
        <v>5.5012800000000001E-2</v>
      </c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>
      <c r="A95" s="38"/>
      <c r="B95" s="38"/>
      <c r="C95" s="38"/>
      <c r="D95" s="44" t="s">
        <v>181</v>
      </c>
      <c r="E95" s="45">
        <v>9.9999999999999995E-7</v>
      </c>
      <c r="F95" s="46">
        <f t="shared" si="0"/>
        <v>8.7600000000000004E-3</v>
      </c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</row>
    <row r="96" spans="1:21">
      <c r="A96" s="38"/>
      <c r="B96" s="38"/>
      <c r="C96" s="38"/>
      <c r="D96" s="44" t="s">
        <v>250</v>
      </c>
      <c r="E96" s="45">
        <v>9.9999999999999995E-7</v>
      </c>
      <c r="F96" s="46">
        <f t="shared" si="0"/>
        <v>8.7600000000000004E-3</v>
      </c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</row>
    <row r="97" spans="1:21">
      <c r="A97" s="38"/>
      <c r="B97" s="38"/>
      <c r="C97" s="38"/>
      <c r="D97" s="44" t="s">
        <v>179</v>
      </c>
      <c r="E97" s="45">
        <v>1.7119999999999999E-5</v>
      </c>
      <c r="F97" s="46">
        <f t="shared" si="0"/>
        <v>0.1499712</v>
      </c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</row>
    <row r="98" spans="1:21">
      <c r="A98" s="38"/>
      <c r="B98" s="38"/>
      <c r="C98" s="38"/>
      <c r="D98" s="44" t="s">
        <v>284</v>
      </c>
      <c r="E98" s="45">
        <v>9.9999999999999995E-7</v>
      </c>
      <c r="F98" s="46">
        <f t="shared" si="0"/>
        <v>8.7600000000000004E-3</v>
      </c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</row>
    <row r="99" spans="1:21">
      <c r="A99" s="38"/>
      <c r="B99" s="38"/>
      <c r="C99" s="38"/>
      <c r="D99" s="44" t="s">
        <v>253</v>
      </c>
      <c r="E99" s="45">
        <v>1.3699999999999999E-5</v>
      </c>
      <c r="F99" s="46">
        <f t="shared" si="0"/>
        <v>0.12001199999999999</v>
      </c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>
      <c r="A100" s="38"/>
      <c r="B100" s="38"/>
      <c r="C100" s="38"/>
      <c r="D100" s="44" t="s">
        <v>198</v>
      </c>
      <c r="E100" s="47">
        <v>1.37E-6</v>
      </c>
      <c r="F100" s="46">
        <f t="shared" si="0"/>
        <v>1.2001199999999998E-2</v>
      </c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</row>
    <row r="101" spans="1:21">
      <c r="A101" s="38"/>
      <c r="B101" s="38"/>
      <c r="C101" s="38"/>
      <c r="D101" s="44" t="s">
        <v>204</v>
      </c>
      <c r="E101" s="45">
        <v>4.5700000000000003E-6</v>
      </c>
      <c r="F101" s="46">
        <f t="shared" si="0"/>
        <v>4.0033200000000005E-2</v>
      </c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</row>
    <row r="102" spans="1:21">
      <c r="A102" s="38"/>
      <c r="B102" s="38"/>
      <c r="C102" s="38"/>
      <c r="D102" s="44" t="s">
        <v>233</v>
      </c>
      <c r="E102" s="45">
        <v>6.28E-6</v>
      </c>
      <c r="F102" s="46">
        <f t="shared" si="0"/>
        <v>5.5012800000000001E-2</v>
      </c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</row>
    <row r="103" spans="1:21">
      <c r="A103" s="38"/>
      <c r="B103" s="38"/>
      <c r="C103" s="38"/>
      <c r="D103" s="44" t="s">
        <v>181</v>
      </c>
      <c r="E103" s="45">
        <v>9.9999999999999995E-7</v>
      </c>
      <c r="F103" s="46">
        <f t="shared" si="0"/>
        <v>8.7600000000000004E-3</v>
      </c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</row>
    <row r="104" spans="1:21">
      <c r="A104" s="38"/>
      <c r="B104" s="38"/>
      <c r="C104" s="38"/>
      <c r="D104" s="44" t="s">
        <v>250</v>
      </c>
      <c r="E104" s="45">
        <v>9.9999999999999995E-7</v>
      </c>
      <c r="F104" s="46">
        <f t="shared" si="0"/>
        <v>8.7600000000000004E-3</v>
      </c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</row>
    <row r="105" spans="1:21">
      <c r="A105" s="38"/>
      <c r="B105" s="38"/>
      <c r="C105" s="38"/>
      <c r="D105" s="44" t="s">
        <v>179</v>
      </c>
      <c r="E105" s="45">
        <v>5.0000000000000004E-6</v>
      </c>
      <c r="F105" s="46">
        <f t="shared" si="0"/>
        <v>4.3800000000000006E-2</v>
      </c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</row>
    <row r="106" spans="1:21">
      <c r="A106" s="38"/>
      <c r="B106" s="38"/>
      <c r="C106" s="38"/>
      <c r="D106" s="44" t="s">
        <v>284</v>
      </c>
      <c r="E106" s="45">
        <v>9.9999999999999995E-7</v>
      </c>
      <c r="F106" s="46">
        <f t="shared" si="0"/>
        <v>8.7600000000000004E-3</v>
      </c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</row>
    <row r="107" spans="1:21">
      <c r="A107" s="38"/>
      <c r="B107" s="38"/>
      <c r="C107" s="38"/>
      <c r="D107" s="44" t="s">
        <v>253</v>
      </c>
      <c r="E107" s="45">
        <v>1.3699999999999999E-5</v>
      </c>
      <c r="F107" s="46">
        <f t="shared" si="0"/>
        <v>0.12001199999999999</v>
      </c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</row>
    <row r="108" spans="1:21">
      <c r="A108" s="38"/>
      <c r="B108" s="38"/>
      <c r="C108" s="38"/>
      <c r="D108" s="44" t="s">
        <v>198</v>
      </c>
      <c r="E108" s="45">
        <v>1.37E-6</v>
      </c>
      <c r="F108" s="46">
        <f t="shared" si="0"/>
        <v>1.2001199999999998E-2</v>
      </c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</row>
    <row r="109" spans="1:21">
      <c r="A109" s="38"/>
      <c r="B109" s="38"/>
      <c r="C109" s="38"/>
      <c r="D109" s="44" t="s">
        <v>204</v>
      </c>
      <c r="E109" s="45">
        <v>4.5700000000000003E-6</v>
      </c>
      <c r="F109" s="46">
        <f t="shared" si="0"/>
        <v>4.0033200000000005E-2</v>
      </c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</row>
    <row r="110" spans="1:21">
      <c r="A110" s="38"/>
      <c r="B110" s="38"/>
      <c r="C110" s="38"/>
      <c r="D110" s="44" t="s">
        <v>233</v>
      </c>
      <c r="E110" s="45">
        <v>6.28E-6</v>
      </c>
      <c r="F110" s="46">
        <f t="shared" si="0"/>
        <v>5.5012800000000001E-2</v>
      </c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</row>
    <row r="111" spans="1:21">
      <c r="A111" s="38"/>
      <c r="B111" s="38"/>
      <c r="C111" s="38"/>
      <c r="D111" s="44" t="s">
        <v>181</v>
      </c>
      <c r="E111" s="45">
        <v>9.9999999999999995E-7</v>
      </c>
      <c r="F111" s="46">
        <f t="shared" si="0"/>
        <v>8.7600000000000004E-3</v>
      </c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</row>
    <row r="112" spans="1:21">
      <c r="A112" s="38"/>
      <c r="B112" s="38"/>
      <c r="C112" s="38"/>
      <c r="D112" s="44" t="s">
        <v>250</v>
      </c>
      <c r="E112" s="45">
        <v>9.9999999999999995E-7</v>
      </c>
      <c r="F112" s="46">
        <f t="shared" si="0"/>
        <v>8.7600000000000004E-3</v>
      </c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</row>
    <row r="113" spans="1:21">
      <c r="A113" s="38"/>
      <c r="B113" s="38"/>
      <c r="C113" s="38"/>
      <c r="D113" s="44" t="s">
        <v>179</v>
      </c>
      <c r="E113" s="45">
        <v>9.9999999999999995E-7</v>
      </c>
      <c r="F113" s="46">
        <f t="shared" si="0"/>
        <v>8.7600000000000004E-3</v>
      </c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</row>
    <row r="114" spans="1:21">
      <c r="A114" s="38"/>
      <c r="B114" s="38"/>
      <c r="C114" s="38"/>
      <c r="D114" s="44" t="s">
        <v>284</v>
      </c>
      <c r="E114" s="45">
        <v>9.9999999999999995E-7</v>
      </c>
      <c r="F114" s="46">
        <f t="shared" si="0"/>
        <v>8.7600000000000004E-3</v>
      </c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</row>
    <row r="115" spans="1:21">
      <c r="A115" s="38"/>
      <c r="B115" s="38"/>
      <c r="C115" s="38"/>
      <c r="D115" s="44" t="s">
        <v>253</v>
      </c>
      <c r="E115" s="45">
        <v>1.3699999999999999E-5</v>
      </c>
      <c r="F115" s="46">
        <f t="shared" si="0"/>
        <v>0.12001199999999999</v>
      </c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</row>
    <row r="116" spans="1:21">
      <c r="A116" s="38"/>
      <c r="B116" s="38"/>
      <c r="C116" s="38"/>
      <c r="D116" s="44" t="s">
        <v>198</v>
      </c>
      <c r="E116" s="45">
        <v>1.37E-6</v>
      </c>
      <c r="F116" s="46">
        <f t="shared" si="0"/>
        <v>1.2001199999999998E-2</v>
      </c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</row>
    <row r="117" spans="1:21">
      <c r="A117" s="38"/>
      <c r="B117" s="38"/>
      <c r="C117" s="38"/>
      <c r="D117" s="44" t="s">
        <v>204</v>
      </c>
      <c r="E117" s="45">
        <v>4.5700000000000003E-6</v>
      </c>
      <c r="F117" s="46">
        <f t="shared" si="0"/>
        <v>4.0033200000000005E-2</v>
      </c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</row>
    <row r="118" spans="1:21">
      <c r="A118" s="38"/>
      <c r="B118" s="38"/>
      <c r="C118" s="38"/>
      <c r="D118" s="44" t="s">
        <v>233</v>
      </c>
      <c r="E118" s="45">
        <v>6.28E-6</v>
      </c>
      <c r="F118" s="46">
        <f t="shared" si="0"/>
        <v>5.5012800000000001E-2</v>
      </c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</row>
    <row r="119" spans="1:21">
      <c r="A119" s="38"/>
      <c r="B119" s="38"/>
      <c r="C119" s="38"/>
      <c r="D119" s="44" t="s">
        <v>181</v>
      </c>
      <c r="E119" s="45">
        <v>9.9999999999999995E-7</v>
      </c>
      <c r="F119" s="46">
        <f t="shared" si="0"/>
        <v>8.7600000000000004E-3</v>
      </c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</row>
    <row r="120" spans="1:21">
      <c r="A120" s="38"/>
      <c r="B120" s="38"/>
      <c r="C120" s="38"/>
      <c r="D120" s="44" t="s">
        <v>250</v>
      </c>
      <c r="E120" s="45">
        <v>9.9999999999999995E-7</v>
      </c>
      <c r="F120" s="46">
        <f t="shared" si="0"/>
        <v>8.7600000000000004E-3</v>
      </c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</row>
    <row r="121" spans="1:21">
      <c r="A121" s="38"/>
      <c r="B121" s="38"/>
      <c r="C121" s="38"/>
      <c r="D121" s="44" t="s">
        <v>179</v>
      </c>
      <c r="E121" s="45">
        <v>9.9999999999999995E-7</v>
      </c>
      <c r="F121" s="46">
        <f t="shared" si="0"/>
        <v>8.7600000000000004E-3</v>
      </c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</row>
    <row r="122" spans="1:21">
      <c r="A122" s="38"/>
      <c r="B122" s="38"/>
      <c r="C122" s="38"/>
      <c r="D122" s="44" t="s">
        <v>284</v>
      </c>
      <c r="E122" s="45">
        <v>9.9999999999999995E-7</v>
      </c>
      <c r="F122" s="46">
        <f t="shared" si="0"/>
        <v>8.7600000000000004E-3</v>
      </c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</row>
    <row r="123" spans="1:21">
      <c r="A123" s="38"/>
      <c r="B123" s="38"/>
      <c r="C123" s="38"/>
      <c r="D123" s="44" t="s">
        <v>253</v>
      </c>
      <c r="E123" s="45">
        <v>1.3699999999999999E-5</v>
      </c>
      <c r="F123" s="46">
        <f t="shared" si="0"/>
        <v>0.12001199999999999</v>
      </c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</row>
    <row r="124" spans="1:21">
      <c r="A124" s="38"/>
      <c r="B124" s="38"/>
      <c r="C124" s="38"/>
      <c r="D124" s="44" t="s">
        <v>198</v>
      </c>
      <c r="E124" s="45">
        <v>1.37E-6</v>
      </c>
      <c r="F124" s="46">
        <f t="shared" si="0"/>
        <v>1.2001199999999998E-2</v>
      </c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</row>
    <row r="125" spans="1:21">
      <c r="A125" s="38"/>
      <c r="B125" s="38"/>
      <c r="C125" s="38"/>
      <c r="D125" s="44" t="s">
        <v>204</v>
      </c>
      <c r="E125" s="45">
        <v>4.5700000000000003E-6</v>
      </c>
      <c r="F125" s="46">
        <f t="shared" si="0"/>
        <v>4.0033200000000005E-2</v>
      </c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</row>
    <row r="126" spans="1:21">
      <c r="A126" s="38"/>
      <c r="B126" s="38"/>
      <c r="C126" s="38"/>
      <c r="D126" s="44" t="s">
        <v>233</v>
      </c>
      <c r="E126" s="45">
        <v>6.28E-6</v>
      </c>
      <c r="F126" s="46">
        <f t="shared" si="0"/>
        <v>5.5012800000000001E-2</v>
      </c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</row>
    <row r="127" spans="1:21">
      <c r="A127" s="38"/>
      <c r="B127" s="38"/>
      <c r="C127" s="38"/>
      <c r="D127" s="44" t="s">
        <v>181</v>
      </c>
      <c r="E127" s="45">
        <v>9.9999999999999995E-7</v>
      </c>
      <c r="F127" s="46">
        <f t="shared" si="0"/>
        <v>8.7600000000000004E-3</v>
      </c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</row>
    <row r="128" spans="1:21">
      <c r="A128" s="38"/>
      <c r="B128" s="38"/>
      <c r="C128" s="38"/>
      <c r="D128" s="44" t="s">
        <v>250</v>
      </c>
      <c r="E128" s="45">
        <v>9.9999999999999995E-7</v>
      </c>
      <c r="F128" s="46">
        <f t="shared" si="0"/>
        <v>8.7600000000000004E-3</v>
      </c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</row>
    <row r="129" spans="1:21">
      <c r="A129" s="38"/>
      <c r="B129" s="38"/>
      <c r="C129" s="38"/>
      <c r="D129" s="44" t="s">
        <v>179</v>
      </c>
      <c r="E129" s="45">
        <v>3.0000000000000001E-6</v>
      </c>
      <c r="F129" s="46">
        <f t="shared" si="0"/>
        <v>2.6280000000000001E-2</v>
      </c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</row>
    <row r="130" spans="1:21">
      <c r="A130" s="38"/>
      <c r="B130" s="38"/>
      <c r="C130" s="38"/>
      <c r="D130" s="44" t="s">
        <v>284</v>
      </c>
      <c r="E130" s="45">
        <v>9.9999999999999995E-7</v>
      </c>
      <c r="F130" s="46">
        <f t="shared" si="0"/>
        <v>8.7600000000000004E-3</v>
      </c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</row>
    <row r="131" spans="1:21">
      <c r="A131" s="38"/>
      <c r="B131" s="38"/>
      <c r="C131" s="38"/>
      <c r="D131" s="44" t="s">
        <v>253</v>
      </c>
      <c r="E131" s="45">
        <v>1.3699999999999999E-5</v>
      </c>
      <c r="F131" s="46">
        <f t="shared" si="0"/>
        <v>0.12001199999999999</v>
      </c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</row>
    <row r="132" spans="1:21">
      <c r="A132" s="38"/>
      <c r="B132" s="38"/>
      <c r="C132" s="38"/>
      <c r="D132" s="44" t="s">
        <v>198</v>
      </c>
      <c r="E132" s="45">
        <v>1.37E-6</v>
      </c>
      <c r="F132" s="46">
        <f t="shared" si="0"/>
        <v>1.2001199999999998E-2</v>
      </c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</row>
    <row r="133" spans="1:21">
      <c r="A133" s="38"/>
      <c r="B133" s="38"/>
      <c r="C133" s="38"/>
      <c r="D133" s="44" t="s">
        <v>204</v>
      </c>
      <c r="E133" s="45">
        <v>4.5700000000000003E-6</v>
      </c>
      <c r="F133" s="46">
        <f t="shared" si="0"/>
        <v>4.0033200000000005E-2</v>
      </c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</row>
    <row r="134" spans="1:21">
      <c r="A134" s="38"/>
      <c r="B134" s="38"/>
      <c r="C134" s="38"/>
      <c r="D134" s="44" t="s">
        <v>233</v>
      </c>
      <c r="E134" s="45">
        <v>6.28E-6</v>
      </c>
      <c r="F134" s="46">
        <f t="shared" si="0"/>
        <v>5.5012800000000001E-2</v>
      </c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</row>
    <row r="135" spans="1:21">
      <c r="A135" s="38"/>
      <c r="B135" s="38"/>
      <c r="C135" s="38"/>
      <c r="D135" s="44" t="s">
        <v>181</v>
      </c>
      <c r="E135" s="45">
        <v>9.9999999999999995E-7</v>
      </c>
      <c r="F135" s="46">
        <f t="shared" si="0"/>
        <v>8.7600000000000004E-3</v>
      </c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</row>
    <row r="136" spans="1:21">
      <c r="A136" s="38"/>
      <c r="B136" s="38"/>
      <c r="C136" s="38"/>
      <c r="D136" s="44" t="s">
        <v>250</v>
      </c>
      <c r="E136" s="45">
        <v>9.9999999999999995E-7</v>
      </c>
      <c r="F136" s="46">
        <f t="shared" si="0"/>
        <v>8.7600000000000004E-3</v>
      </c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</row>
    <row r="137" spans="1:21">
      <c r="A137" s="38"/>
      <c r="B137" s="38"/>
      <c r="C137" s="38"/>
      <c r="D137" s="44" t="s">
        <v>179</v>
      </c>
      <c r="E137" s="45">
        <v>9.9999999999999995E-7</v>
      </c>
      <c r="F137" s="46">
        <f t="shared" si="0"/>
        <v>8.7600000000000004E-3</v>
      </c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</row>
    <row r="138" spans="1:21">
      <c r="A138" s="38"/>
      <c r="B138" s="38"/>
      <c r="C138" s="38"/>
      <c r="D138" s="44" t="s">
        <v>284</v>
      </c>
      <c r="E138" s="45">
        <v>9.9999999999999995E-7</v>
      </c>
      <c r="F138" s="46">
        <f t="shared" si="0"/>
        <v>8.7600000000000004E-3</v>
      </c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</row>
    <row r="139" spans="1:21">
      <c r="A139" s="38"/>
      <c r="B139" s="38"/>
      <c r="C139" s="38"/>
      <c r="D139" s="44" t="s">
        <v>253</v>
      </c>
      <c r="E139" s="45">
        <v>1.3699999999999999E-5</v>
      </c>
      <c r="F139" s="46">
        <f t="shared" si="0"/>
        <v>0.12001199999999999</v>
      </c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</row>
    <row r="140" spans="1:21">
      <c r="A140" s="38"/>
      <c r="B140" s="38"/>
      <c r="C140" s="38"/>
      <c r="D140" s="44" t="s">
        <v>198</v>
      </c>
      <c r="E140" s="45">
        <v>1.37E-6</v>
      </c>
      <c r="F140" s="46">
        <f t="shared" si="0"/>
        <v>1.2001199999999998E-2</v>
      </c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</row>
    <row r="141" spans="1:21">
      <c r="A141" s="38"/>
      <c r="B141" s="38"/>
      <c r="C141" s="38"/>
      <c r="D141" s="44" t="s">
        <v>204</v>
      </c>
      <c r="E141" s="45">
        <v>4.5700000000000003E-6</v>
      </c>
      <c r="F141" s="46">
        <f t="shared" si="0"/>
        <v>4.0033200000000005E-2</v>
      </c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</row>
    <row r="142" spans="1:21">
      <c r="A142" s="38"/>
      <c r="B142" s="38"/>
      <c r="C142" s="38"/>
      <c r="D142" s="44" t="s">
        <v>233</v>
      </c>
      <c r="E142" s="45">
        <v>6.28E-6</v>
      </c>
      <c r="F142" s="46">
        <f t="shared" si="0"/>
        <v>5.5012800000000001E-2</v>
      </c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</row>
    <row r="143" spans="1:21">
      <c r="A143" s="38"/>
      <c r="B143" s="38"/>
      <c r="C143" s="38"/>
      <c r="D143" s="44" t="s">
        <v>181</v>
      </c>
      <c r="E143" s="45">
        <v>9.9999999999999995E-7</v>
      </c>
      <c r="F143" s="46">
        <f t="shared" si="0"/>
        <v>8.7600000000000004E-3</v>
      </c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</row>
    <row r="144" spans="1:21">
      <c r="A144" s="38"/>
      <c r="B144" s="38"/>
      <c r="C144" s="38"/>
      <c r="D144" s="44" t="s">
        <v>250</v>
      </c>
      <c r="E144" s="45">
        <v>9.9999999999999995E-7</v>
      </c>
      <c r="F144" s="46">
        <f t="shared" si="0"/>
        <v>8.7600000000000004E-3</v>
      </c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</row>
    <row r="145" spans="1:21">
      <c r="A145" s="38"/>
      <c r="B145" s="38"/>
      <c r="C145" s="38"/>
      <c r="D145" s="44" t="s">
        <v>179</v>
      </c>
      <c r="E145" s="45">
        <v>9.9999999999999995E-7</v>
      </c>
      <c r="F145" s="46">
        <f t="shared" si="0"/>
        <v>8.7600000000000004E-3</v>
      </c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</row>
    <row r="146" spans="1:21">
      <c r="A146" s="38"/>
      <c r="B146" s="38"/>
      <c r="C146" s="38"/>
      <c r="D146" s="44" t="s">
        <v>284</v>
      </c>
      <c r="E146" s="45">
        <v>9.9999999999999995E-7</v>
      </c>
      <c r="F146" s="46">
        <f t="shared" si="0"/>
        <v>8.7600000000000004E-3</v>
      </c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</row>
    <row r="147" spans="1:21">
      <c r="A147" s="38"/>
      <c r="B147" s="38"/>
      <c r="C147" s="38"/>
      <c r="D147" s="44" t="s">
        <v>253</v>
      </c>
      <c r="E147" s="45">
        <v>1.3699999999999999E-5</v>
      </c>
      <c r="F147" s="46">
        <f t="shared" si="0"/>
        <v>0.12001199999999999</v>
      </c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</row>
    <row r="148" spans="1:21">
      <c r="A148" s="38"/>
      <c r="B148" s="38"/>
      <c r="C148" s="38"/>
      <c r="D148" s="44" t="s">
        <v>198</v>
      </c>
      <c r="E148" s="45">
        <v>1.37E-6</v>
      </c>
      <c r="F148" s="46">
        <f t="shared" si="0"/>
        <v>1.2001199999999998E-2</v>
      </c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</row>
    <row r="149" spans="1:21">
      <c r="A149" s="38"/>
      <c r="B149" s="38"/>
      <c r="C149" s="38"/>
      <c r="D149" s="44" t="s">
        <v>204</v>
      </c>
      <c r="E149" s="45">
        <v>4.5700000000000003E-6</v>
      </c>
      <c r="F149" s="46">
        <f t="shared" si="0"/>
        <v>4.0033200000000005E-2</v>
      </c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</row>
    <row r="150" spans="1:21">
      <c r="A150" s="38"/>
      <c r="B150" s="38"/>
      <c r="C150" s="38"/>
      <c r="D150" s="44" t="s">
        <v>233</v>
      </c>
      <c r="E150" s="45">
        <v>6.28E-6</v>
      </c>
      <c r="F150" s="46">
        <f t="shared" si="0"/>
        <v>5.5012800000000001E-2</v>
      </c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</row>
    <row r="151" spans="1:21">
      <c r="A151" s="38"/>
      <c r="B151" s="38"/>
      <c r="C151" s="38"/>
      <c r="D151" s="44" t="s">
        <v>181</v>
      </c>
      <c r="E151" s="47">
        <v>9.9999999999999995E-7</v>
      </c>
      <c r="F151" s="46">
        <f t="shared" si="0"/>
        <v>8.7600000000000004E-3</v>
      </c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</row>
    <row r="152" spans="1:21">
      <c r="A152" s="38"/>
      <c r="B152" s="38"/>
      <c r="C152" s="38"/>
      <c r="D152" s="44" t="s">
        <v>250</v>
      </c>
      <c r="E152" s="47">
        <v>9.9999999999999995E-7</v>
      </c>
      <c r="F152" s="46">
        <f t="shared" si="0"/>
        <v>8.7600000000000004E-3</v>
      </c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</row>
    <row r="153" spans="1:21">
      <c r="A153" s="38"/>
      <c r="B153" s="38"/>
      <c r="C153" s="38"/>
      <c r="D153" s="44" t="s">
        <v>179</v>
      </c>
      <c r="E153" s="47">
        <v>4.5700000000000003E-6</v>
      </c>
      <c r="F153" s="46">
        <f t="shared" si="0"/>
        <v>4.0033200000000005E-2</v>
      </c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</row>
    <row r="154" spans="1:21">
      <c r="A154" s="38"/>
      <c r="B154" s="38"/>
      <c r="C154" s="38"/>
      <c r="D154" s="44" t="s">
        <v>284</v>
      </c>
      <c r="E154" s="47">
        <v>9.9999999999999995E-7</v>
      </c>
      <c r="F154" s="46">
        <f t="shared" si="0"/>
        <v>8.7600000000000004E-3</v>
      </c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</row>
    <row r="155" spans="1:21">
      <c r="A155" s="38"/>
      <c r="B155" s="38"/>
      <c r="C155" s="38"/>
      <c r="D155" s="44" t="s">
        <v>253</v>
      </c>
      <c r="E155" s="47">
        <v>1.3699999999999999E-5</v>
      </c>
      <c r="F155" s="46">
        <f t="shared" si="0"/>
        <v>0.12001199999999999</v>
      </c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</row>
    <row r="156" spans="1:21">
      <c r="A156" s="38"/>
      <c r="B156" s="38"/>
      <c r="C156" s="38"/>
      <c r="D156" s="44" t="s">
        <v>198</v>
      </c>
      <c r="E156" s="47">
        <v>2.2800000000000002E-6</v>
      </c>
      <c r="F156" s="46">
        <f t="shared" si="0"/>
        <v>1.9972800000000002E-2</v>
      </c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</row>
    <row r="157" spans="1:21">
      <c r="A157" s="38"/>
      <c r="B157" s="38"/>
      <c r="C157" s="38"/>
      <c r="D157" s="44" t="s">
        <v>204</v>
      </c>
      <c r="E157" s="47">
        <v>4.5700000000000003E-6</v>
      </c>
      <c r="F157" s="46">
        <f t="shared" si="0"/>
        <v>4.0033200000000005E-2</v>
      </c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</row>
    <row r="158" spans="1:21">
      <c r="A158" s="38"/>
      <c r="B158" s="38"/>
      <c r="C158" s="38"/>
      <c r="D158" s="44" t="s">
        <v>233</v>
      </c>
      <c r="E158" s="47">
        <v>6.28E-6</v>
      </c>
      <c r="F158" s="46">
        <f t="shared" si="0"/>
        <v>5.5012800000000001E-2</v>
      </c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</row>
    <row r="159" spans="1:21">
      <c r="A159" s="38"/>
      <c r="B159" s="38"/>
      <c r="C159" s="38"/>
      <c r="D159" s="44" t="s">
        <v>181</v>
      </c>
      <c r="E159" s="47">
        <v>9.9999999999999995E-7</v>
      </c>
      <c r="F159" s="46">
        <f t="shared" si="0"/>
        <v>8.7600000000000004E-3</v>
      </c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</row>
    <row r="160" spans="1:21">
      <c r="A160" s="38"/>
      <c r="B160" s="38"/>
      <c r="C160" s="38"/>
      <c r="D160" s="44" t="s">
        <v>250</v>
      </c>
      <c r="E160" s="47">
        <v>9.9999999999999995E-7</v>
      </c>
      <c r="F160" s="46">
        <f t="shared" si="0"/>
        <v>8.7600000000000004E-3</v>
      </c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</row>
    <row r="161" spans="1:21">
      <c r="A161" s="38"/>
      <c r="B161" s="38"/>
      <c r="C161" s="38"/>
      <c r="D161" s="44" t="s">
        <v>179</v>
      </c>
      <c r="E161" s="47">
        <v>4.5700000000000003E-6</v>
      </c>
      <c r="F161" s="46">
        <f t="shared" si="0"/>
        <v>4.0033200000000005E-2</v>
      </c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</row>
    <row r="162" spans="1:21">
      <c r="A162" s="38"/>
      <c r="B162" s="38"/>
      <c r="C162" s="38"/>
      <c r="D162" s="44" t="s">
        <v>284</v>
      </c>
      <c r="E162" s="47">
        <v>9.9999999999999995E-7</v>
      </c>
      <c r="F162" s="46">
        <f t="shared" si="0"/>
        <v>8.7600000000000004E-3</v>
      </c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</row>
    <row r="163" spans="1:21">
      <c r="A163" s="38"/>
      <c r="B163" s="38"/>
      <c r="C163" s="38"/>
      <c r="D163" s="44" t="s">
        <v>253</v>
      </c>
      <c r="E163" s="47">
        <v>1.3699999999999999E-5</v>
      </c>
      <c r="F163" s="46">
        <f t="shared" si="0"/>
        <v>0.12001199999999999</v>
      </c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</row>
    <row r="164" spans="1:21">
      <c r="A164" s="38"/>
      <c r="B164" s="38"/>
      <c r="C164" s="38"/>
      <c r="D164" s="44" t="s">
        <v>198</v>
      </c>
      <c r="E164" s="47">
        <v>2.2800000000000002E-6</v>
      </c>
      <c r="F164" s="46">
        <f t="shared" si="0"/>
        <v>1.9972800000000002E-2</v>
      </c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</row>
    <row r="165" spans="1:21">
      <c r="A165" s="38"/>
      <c r="B165" s="38"/>
      <c r="C165" s="38"/>
      <c r="D165" s="44" t="s">
        <v>204</v>
      </c>
      <c r="E165" s="47">
        <v>4.5700000000000003E-6</v>
      </c>
      <c r="F165" s="46">
        <f t="shared" si="0"/>
        <v>4.0033200000000005E-2</v>
      </c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</row>
    <row r="166" spans="1:21">
      <c r="A166" s="38"/>
      <c r="B166" s="38"/>
      <c r="C166" s="38"/>
      <c r="D166" s="44" t="s">
        <v>233</v>
      </c>
      <c r="E166" s="47">
        <v>6.28E-6</v>
      </c>
      <c r="F166" s="46">
        <f t="shared" si="0"/>
        <v>5.5012800000000001E-2</v>
      </c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</row>
    <row r="167" spans="1:21">
      <c r="A167" s="38"/>
      <c r="B167" s="38"/>
      <c r="C167" s="38"/>
      <c r="D167" s="44" t="s">
        <v>181</v>
      </c>
      <c r="E167" s="47">
        <v>9.9999999999999995E-7</v>
      </c>
      <c r="F167" s="46">
        <f t="shared" si="0"/>
        <v>8.7600000000000004E-3</v>
      </c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</row>
    <row r="168" spans="1:21">
      <c r="A168" s="38"/>
      <c r="B168" s="38"/>
      <c r="C168" s="38"/>
      <c r="D168" s="44" t="s">
        <v>250</v>
      </c>
      <c r="E168" s="47">
        <v>9.9999999999999995E-7</v>
      </c>
      <c r="F168" s="46">
        <f t="shared" si="0"/>
        <v>8.7600000000000004E-3</v>
      </c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</row>
    <row r="169" spans="1:21">
      <c r="A169" s="38"/>
      <c r="B169" s="38"/>
      <c r="C169" s="38"/>
      <c r="D169" s="44" t="s">
        <v>179</v>
      </c>
      <c r="E169" s="47">
        <v>4.5700000000000003E-6</v>
      </c>
      <c r="F169" s="46">
        <f t="shared" si="0"/>
        <v>4.0033200000000005E-2</v>
      </c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</row>
    <row r="170" spans="1:21">
      <c r="A170" s="38"/>
      <c r="B170" s="38"/>
      <c r="C170" s="38"/>
      <c r="D170" s="44" t="s">
        <v>284</v>
      </c>
      <c r="E170" s="47">
        <v>9.9999999999999995E-7</v>
      </c>
      <c r="F170" s="46">
        <f t="shared" si="0"/>
        <v>8.7600000000000004E-3</v>
      </c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</row>
    <row r="171" spans="1:21">
      <c r="A171" s="38"/>
      <c r="B171" s="38"/>
      <c r="C171" s="38"/>
      <c r="D171" s="44" t="s">
        <v>253</v>
      </c>
      <c r="E171" s="47">
        <v>1.3699999999999999E-5</v>
      </c>
      <c r="F171" s="46">
        <f t="shared" si="0"/>
        <v>0.12001199999999999</v>
      </c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</row>
    <row r="172" spans="1:21">
      <c r="A172" s="38"/>
      <c r="B172" s="38"/>
      <c r="C172" s="38"/>
      <c r="D172" s="44" t="s">
        <v>198</v>
      </c>
      <c r="E172" s="47">
        <v>2.2800000000000002E-6</v>
      </c>
      <c r="F172" s="46">
        <f t="shared" si="0"/>
        <v>1.9972800000000002E-2</v>
      </c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</row>
    <row r="173" spans="1:21">
      <c r="A173" s="38"/>
      <c r="B173" s="38"/>
      <c r="C173" s="38"/>
      <c r="D173" s="44" t="s">
        <v>204</v>
      </c>
      <c r="E173" s="47">
        <v>4.5700000000000003E-6</v>
      </c>
      <c r="F173" s="46">
        <f t="shared" si="0"/>
        <v>4.0033200000000005E-2</v>
      </c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</row>
    <row r="174" spans="1:21">
      <c r="A174" s="38"/>
      <c r="B174" s="38"/>
      <c r="C174" s="38"/>
      <c r="D174" s="44" t="s">
        <v>233</v>
      </c>
      <c r="E174" s="47">
        <v>6.28E-6</v>
      </c>
      <c r="F174" s="46">
        <f t="shared" si="0"/>
        <v>5.5012800000000001E-2</v>
      </c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</row>
    <row r="175" spans="1:21">
      <c r="A175" s="38"/>
      <c r="B175" s="38"/>
      <c r="C175" s="38"/>
      <c r="D175" s="44" t="s">
        <v>181</v>
      </c>
      <c r="E175" s="47">
        <v>9.9999999999999995E-7</v>
      </c>
      <c r="F175" s="46">
        <f t="shared" si="0"/>
        <v>8.7600000000000004E-3</v>
      </c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</row>
    <row r="176" spans="1:21">
      <c r="A176" s="38"/>
      <c r="B176" s="38"/>
      <c r="C176" s="38"/>
      <c r="D176" s="44" t="s">
        <v>250</v>
      </c>
      <c r="E176" s="47">
        <v>9.9999999999999995E-7</v>
      </c>
      <c r="F176" s="46">
        <f t="shared" si="0"/>
        <v>8.7600000000000004E-3</v>
      </c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</row>
    <row r="177" spans="1:21">
      <c r="A177" s="38"/>
      <c r="B177" s="38"/>
      <c r="C177" s="38"/>
      <c r="D177" s="44" t="s">
        <v>179</v>
      </c>
      <c r="E177" s="47">
        <v>4.5700000000000003E-6</v>
      </c>
      <c r="F177" s="46">
        <f t="shared" si="0"/>
        <v>4.0033200000000005E-2</v>
      </c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</row>
    <row r="178" spans="1:21">
      <c r="A178" s="38"/>
      <c r="B178" s="38"/>
      <c r="C178" s="38"/>
      <c r="D178" s="44" t="s">
        <v>284</v>
      </c>
      <c r="E178" s="47">
        <v>9.9999999999999995E-7</v>
      </c>
      <c r="F178" s="46">
        <f t="shared" si="0"/>
        <v>8.7600000000000004E-3</v>
      </c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</row>
    <row r="179" spans="1:21">
      <c r="A179" s="38"/>
      <c r="B179" s="38"/>
      <c r="C179" s="38"/>
      <c r="D179" s="44" t="s">
        <v>253</v>
      </c>
      <c r="E179" s="47">
        <v>1.3699999999999999E-5</v>
      </c>
      <c r="F179" s="46">
        <f t="shared" si="0"/>
        <v>0.12001199999999999</v>
      </c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</row>
    <row r="180" spans="1:21">
      <c r="A180" s="38"/>
      <c r="B180" s="38"/>
      <c r="C180" s="38"/>
      <c r="D180" s="44" t="s">
        <v>198</v>
      </c>
      <c r="E180" s="47">
        <v>2.2800000000000002E-6</v>
      </c>
      <c r="F180" s="46">
        <f t="shared" si="0"/>
        <v>1.9972800000000002E-2</v>
      </c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</row>
    <row r="181" spans="1:21">
      <c r="A181" s="38"/>
      <c r="B181" s="38"/>
      <c r="C181" s="38"/>
      <c r="D181" s="44" t="s">
        <v>204</v>
      </c>
      <c r="E181" s="47">
        <v>4.5700000000000003E-6</v>
      </c>
      <c r="F181" s="46">
        <f t="shared" si="0"/>
        <v>4.0033200000000005E-2</v>
      </c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</row>
    <row r="182" spans="1:21">
      <c r="A182" s="38"/>
      <c r="B182" s="38"/>
      <c r="C182" s="38"/>
      <c r="D182" s="44" t="s">
        <v>233</v>
      </c>
      <c r="E182" s="47">
        <v>6.28E-6</v>
      </c>
      <c r="F182" s="46">
        <f t="shared" si="0"/>
        <v>5.5012800000000001E-2</v>
      </c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</row>
    <row r="183" spans="1:21">
      <c r="A183" s="38"/>
      <c r="B183" s="38"/>
      <c r="C183" s="38"/>
      <c r="D183" s="44" t="s">
        <v>181</v>
      </c>
      <c r="E183" s="47">
        <v>9.9999999999999995E-7</v>
      </c>
      <c r="F183" s="46">
        <f t="shared" si="0"/>
        <v>8.7600000000000004E-3</v>
      </c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</row>
    <row r="184" spans="1:21">
      <c r="A184" s="38"/>
      <c r="B184" s="38"/>
      <c r="C184" s="38"/>
      <c r="D184" s="44" t="s">
        <v>250</v>
      </c>
      <c r="E184" s="47">
        <v>9.9999999999999995E-7</v>
      </c>
      <c r="F184" s="46">
        <f t="shared" si="0"/>
        <v>8.7600000000000004E-3</v>
      </c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</row>
    <row r="185" spans="1:21">
      <c r="A185" s="38"/>
      <c r="B185" s="38"/>
      <c r="C185" s="38"/>
      <c r="D185" s="44" t="s">
        <v>179</v>
      </c>
      <c r="E185" s="47">
        <v>4.5700000000000003E-6</v>
      </c>
      <c r="F185" s="46">
        <f t="shared" si="0"/>
        <v>4.0033200000000005E-2</v>
      </c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</row>
    <row r="186" spans="1:21">
      <c r="A186" s="38"/>
      <c r="B186" s="38"/>
      <c r="C186" s="38"/>
      <c r="D186" s="44" t="s">
        <v>284</v>
      </c>
      <c r="E186" s="47">
        <v>9.9999999999999995E-7</v>
      </c>
      <c r="F186" s="46">
        <f t="shared" si="0"/>
        <v>8.7600000000000004E-3</v>
      </c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</row>
    <row r="187" spans="1:21">
      <c r="A187" s="38"/>
      <c r="B187" s="38"/>
      <c r="C187" s="38"/>
      <c r="D187" s="44" t="s">
        <v>253</v>
      </c>
      <c r="E187" s="47">
        <v>1.3699999999999999E-5</v>
      </c>
      <c r="F187" s="46">
        <f t="shared" si="0"/>
        <v>0.12001199999999999</v>
      </c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</row>
    <row r="188" spans="1:21">
      <c r="A188" s="38"/>
      <c r="B188" s="38"/>
      <c r="C188" s="38"/>
      <c r="D188" s="44" t="s">
        <v>198</v>
      </c>
      <c r="E188" s="47">
        <v>2.2800000000000002E-6</v>
      </c>
      <c r="F188" s="46">
        <f t="shared" si="0"/>
        <v>1.9972800000000002E-2</v>
      </c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</row>
    <row r="189" spans="1:21">
      <c r="A189" s="38"/>
      <c r="B189" s="38"/>
      <c r="C189" s="38"/>
      <c r="D189" s="44" t="s">
        <v>204</v>
      </c>
      <c r="E189" s="47">
        <v>4.5700000000000003E-6</v>
      </c>
      <c r="F189" s="46">
        <f t="shared" si="0"/>
        <v>4.0033200000000005E-2</v>
      </c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</row>
    <row r="190" spans="1:21">
      <c r="A190" s="38"/>
      <c r="B190" s="38"/>
      <c r="C190" s="38"/>
      <c r="D190" s="44" t="s">
        <v>233</v>
      </c>
      <c r="E190" s="47">
        <v>6.28E-6</v>
      </c>
      <c r="F190" s="46">
        <f t="shared" si="0"/>
        <v>5.5012800000000001E-2</v>
      </c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</row>
    <row r="191" spans="1:21">
      <c r="A191" s="38"/>
      <c r="B191" s="38"/>
      <c r="C191" s="38"/>
      <c r="D191" s="44" t="s">
        <v>181</v>
      </c>
      <c r="E191" s="47">
        <v>9.9999999999999995E-7</v>
      </c>
      <c r="F191" s="46">
        <f t="shared" si="0"/>
        <v>8.7600000000000004E-3</v>
      </c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</row>
    <row r="192" spans="1:21">
      <c r="A192" s="38"/>
      <c r="B192" s="38"/>
      <c r="C192" s="38"/>
      <c r="D192" s="44" t="s">
        <v>250</v>
      </c>
      <c r="E192" s="47">
        <v>9.9999999999999995E-7</v>
      </c>
      <c r="F192" s="46">
        <f t="shared" si="0"/>
        <v>8.7600000000000004E-3</v>
      </c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</row>
    <row r="193" spans="1:21">
      <c r="A193" s="38"/>
      <c r="B193" s="38"/>
      <c r="C193" s="38"/>
      <c r="D193" s="44" t="s">
        <v>284</v>
      </c>
      <c r="E193" s="47">
        <v>9.9999999999999995E-7</v>
      </c>
      <c r="F193" s="46">
        <f t="shared" si="0"/>
        <v>8.7600000000000004E-3</v>
      </c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</row>
    <row r="194" spans="1:21">
      <c r="A194" s="38"/>
      <c r="B194" s="38"/>
      <c r="C194" s="38"/>
      <c r="D194" s="44" t="s">
        <v>179</v>
      </c>
      <c r="E194" s="47">
        <v>4.5700000000000003E-6</v>
      </c>
      <c r="F194" s="46">
        <f t="shared" si="0"/>
        <v>4.0033200000000005E-2</v>
      </c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</row>
    <row r="195" spans="1:21">
      <c r="A195" s="38"/>
      <c r="B195" s="38"/>
      <c r="C195" s="38"/>
      <c r="D195" s="44" t="s">
        <v>253</v>
      </c>
      <c r="E195" s="47">
        <v>1.3699999999999999E-5</v>
      </c>
      <c r="F195" s="46">
        <f t="shared" si="0"/>
        <v>0.12001199999999999</v>
      </c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</row>
    <row r="196" spans="1:21">
      <c r="A196" s="38"/>
      <c r="B196" s="38"/>
      <c r="C196" s="38"/>
      <c r="D196" s="44" t="s">
        <v>198</v>
      </c>
      <c r="E196" s="47">
        <v>2.2800000000000002E-6</v>
      </c>
      <c r="F196" s="46">
        <f t="shared" si="0"/>
        <v>1.9972800000000002E-2</v>
      </c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</row>
    <row r="197" spans="1:21">
      <c r="A197" s="38"/>
      <c r="B197" s="38"/>
      <c r="C197" s="38"/>
      <c r="D197" s="44"/>
      <c r="E197" s="47"/>
      <c r="F197" s="46">
        <f t="shared" si="0"/>
        <v>0</v>
      </c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</row>
    <row r="198" spans="1:21">
      <c r="A198" s="38"/>
      <c r="B198" s="38"/>
      <c r="C198" s="38"/>
      <c r="D198" s="44"/>
      <c r="E198" s="47"/>
      <c r="F198" s="46">
        <f t="shared" si="0"/>
        <v>0</v>
      </c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</row>
    <row r="199" spans="1:21">
      <c r="A199" s="38"/>
      <c r="B199" s="38"/>
      <c r="C199" s="38"/>
      <c r="D199" s="44"/>
      <c r="E199" s="47"/>
      <c r="F199" s="46">
        <f t="shared" si="0"/>
        <v>0</v>
      </c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</row>
    <row r="200" spans="1:21">
      <c r="A200" s="38"/>
      <c r="B200" s="38"/>
      <c r="C200" s="38"/>
      <c r="D200" s="44"/>
      <c r="E200" s="47"/>
      <c r="F200" s="46">
        <f t="shared" si="0"/>
        <v>0</v>
      </c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</row>
    <row r="201" spans="1:21">
      <c r="A201" s="38"/>
      <c r="B201" s="38"/>
      <c r="C201" s="38"/>
      <c r="D201" s="44"/>
      <c r="E201" s="47"/>
      <c r="F201" s="46">
        <f t="shared" si="0"/>
        <v>0</v>
      </c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</row>
    <row r="202" spans="1:21">
      <c r="A202" s="38"/>
      <c r="B202" s="38"/>
      <c r="C202" s="38"/>
      <c r="D202" s="44"/>
      <c r="E202" s="47"/>
      <c r="F202" s="46">
        <f t="shared" si="0"/>
        <v>0</v>
      </c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</row>
    <row r="203" spans="1:21">
      <c r="A203" s="38"/>
      <c r="B203" s="38"/>
      <c r="C203" s="38"/>
      <c r="D203" s="44"/>
      <c r="E203" s="47"/>
      <c r="F203" s="46">
        <f t="shared" si="0"/>
        <v>0</v>
      </c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</row>
    <row r="204" spans="1:21">
      <c r="A204" s="38"/>
      <c r="B204" s="38"/>
      <c r="C204" s="38"/>
      <c r="D204" s="44"/>
      <c r="E204" s="47"/>
      <c r="F204" s="46">
        <f t="shared" si="0"/>
        <v>0</v>
      </c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</row>
    <row r="205" spans="1:21">
      <c r="A205" s="38"/>
      <c r="B205" s="38"/>
      <c r="C205" s="38"/>
      <c r="D205" s="44"/>
      <c r="E205" s="47"/>
      <c r="F205" s="46">
        <f t="shared" si="0"/>
        <v>0</v>
      </c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</row>
    <row r="206" spans="1:21">
      <c r="A206" s="38"/>
      <c r="B206" s="38"/>
      <c r="C206" s="38"/>
      <c r="D206" s="38"/>
      <c r="E206" s="38"/>
      <c r="F206" s="46">
        <f t="shared" si="0"/>
        <v>0</v>
      </c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</row>
    <row r="207" spans="1:21">
      <c r="A207" s="38"/>
      <c r="B207" s="38"/>
      <c r="C207" s="38"/>
      <c r="D207" s="38"/>
      <c r="E207" s="38"/>
      <c r="F207" s="46">
        <f t="shared" si="0"/>
        <v>0</v>
      </c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</row>
    <row r="208" spans="1:21">
      <c r="A208" s="38"/>
      <c r="B208" s="38"/>
      <c r="C208" s="38"/>
      <c r="D208" s="38"/>
      <c r="E208" s="38"/>
      <c r="F208" s="46">
        <f t="shared" si="0"/>
        <v>0</v>
      </c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</row>
    <row r="209" spans="1:21">
      <c r="A209" s="38"/>
      <c r="B209" s="38"/>
      <c r="C209" s="38"/>
      <c r="D209" s="38"/>
      <c r="E209" s="38"/>
      <c r="F209" s="46">
        <f t="shared" si="0"/>
        <v>0</v>
      </c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</row>
    <row r="210" spans="1:21">
      <c r="A210" s="38"/>
      <c r="B210" s="38"/>
      <c r="C210" s="38"/>
      <c r="D210" s="38"/>
      <c r="E210" s="38"/>
      <c r="F210" s="46">
        <f t="shared" si="0"/>
        <v>0</v>
      </c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</row>
    <row r="211" spans="1:21">
      <c r="A211" s="38"/>
      <c r="B211" s="38"/>
      <c r="C211" s="38"/>
      <c r="D211" s="38"/>
      <c r="E211" s="38"/>
      <c r="F211" s="46">
        <f t="shared" si="0"/>
        <v>0</v>
      </c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</row>
    <row r="212" spans="1:21">
      <c r="A212" s="38"/>
      <c r="B212" s="38"/>
      <c r="C212" s="38"/>
      <c r="D212" s="38"/>
      <c r="E212" s="38"/>
      <c r="F212" s="46">
        <f t="shared" si="0"/>
        <v>0</v>
      </c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</row>
    <row r="213" spans="1:21">
      <c r="A213" s="38"/>
      <c r="B213" s="38"/>
      <c r="C213" s="38"/>
      <c r="D213" s="38"/>
      <c r="E213" s="38"/>
      <c r="F213" s="46">
        <f t="shared" si="0"/>
        <v>0</v>
      </c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</row>
    <row r="214" spans="1:21">
      <c r="A214" s="38"/>
      <c r="B214" s="38"/>
      <c r="C214" s="38"/>
      <c r="D214" s="38"/>
      <c r="E214" s="38"/>
      <c r="F214" s="46">
        <f t="shared" si="0"/>
        <v>0</v>
      </c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</row>
    <row r="215" spans="1:21">
      <c r="A215" s="38"/>
      <c r="B215" s="38"/>
      <c r="C215" s="38"/>
      <c r="D215" s="38"/>
      <c r="E215" s="38"/>
      <c r="F215" s="46">
        <f t="shared" si="0"/>
        <v>0</v>
      </c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</row>
    <row r="216" spans="1:21">
      <c r="A216" s="38"/>
      <c r="B216" s="38"/>
      <c r="C216" s="38"/>
      <c r="D216" s="38"/>
      <c r="E216" s="38"/>
      <c r="F216" s="46">
        <f t="shared" si="0"/>
        <v>0</v>
      </c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</row>
    <row r="217" spans="1:21">
      <c r="A217" s="38"/>
      <c r="B217" s="38"/>
      <c r="C217" s="38"/>
      <c r="D217" s="38"/>
      <c r="E217" s="38"/>
      <c r="F217" s="46">
        <f t="shared" si="0"/>
        <v>0</v>
      </c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</row>
    <row r="218" spans="1:21">
      <c r="A218" s="38"/>
      <c r="B218" s="38"/>
      <c r="C218" s="38"/>
      <c r="D218" s="38"/>
      <c r="E218" s="38"/>
      <c r="F218" s="46">
        <f t="shared" si="0"/>
        <v>0</v>
      </c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</row>
    <row r="219" spans="1:21">
      <c r="A219" s="38"/>
      <c r="B219" s="38"/>
      <c r="C219" s="38"/>
      <c r="D219" s="38"/>
      <c r="E219" s="38"/>
      <c r="F219" s="46">
        <f t="shared" si="0"/>
        <v>0</v>
      </c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</row>
    <row r="220" spans="1:21">
      <c r="A220" s="38"/>
      <c r="B220" s="38"/>
      <c r="C220" s="38"/>
      <c r="D220" s="38"/>
      <c r="E220" s="38"/>
      <c r="F220" s="46">
        <f t="shared" si="0"/>
        <v>0</v>
      </c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</row>
    <row r="221" spans="1:21">
      <c r="A221" s="38"/>
      <c r="B221" s="38"/>
      <c r="C221" s="38"/>
      <c r="D221" s="38"/>
      <c r="E221" s="38"/>
      <c r="F221" s="46">
        <f t="shared" si="0"/>
        <v>0</v>
      </c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</row>
    <row r="222" spans="1:21">
      <c r="A222" s="38"/>
      <c r="B222" s="38"/>
      <c r="C222" s="38"/>
      <c r="D222" s="38"/>
      <c r="E222" s="38"/>
      <c r="F222" s="46">
        <f t="shared" si="0"/>
        <v>0</v>
      </c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</row>
    <row r="223" spans="1:21">
      <c r="A223" s="38"/>
      <c r="B223" s="38"/>
      <c r="C223" s="38"/>
      <c r="D223" s="38"/>
      <c r="E223" s="38"/>
      <c r="F223" s="46">
        <f t="shared" si="0"/>
        <v>0</v>
      </c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</row>
    <row r="224" spans="1:21">
      <c r="A224" s="38"/>
      <c r="B224" s="38"/>
      <c r="C224" s="38"/>
      <c r="D224" s="38"/>
      <c r="E224" s="38"/>
      <c r="F224" s="49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</row>
    <row r="225" spans="1:21">
      <c r="A225" s="38"/>
      <c r="B225" s="38"/>
      <c r="C225" s="38"/>
      <c r="D225" s="38"/>
      <c r="E225" s="38"/>
      <c r="F225" s="49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</row>
    <row r="226" spans="1:21">
      <c r="A226" s="38"/>
      <c r="B226" s="38"/>
      <c r="C226" s="38"/>
      <c r="D226" s="38"/>
      <c r="E226" s="38"/>
      <c r="F226" s="49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</row>
    <row r="227" spans="1:21">
      <c r="A227" s="38"/>
      <c r="B227" s="38"/>
      <c r="C227" s="38"/>
      <c r="D227" s="38"/>
      <c r="E227" s="38"/>
      <c r="F227" s="49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</row>
    <row r="228" spans="1:21">
      <c r="A228" s="38"/>
      <c r="B228" s="38"/>
      <c r="C228" s="38"/>
      <c r="D228" s="38"/>
      <c r="E228" s="38"/>
      <c r="F228" s="49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</row>
    <row r="229" spans="1:21">
      <c r="A229" s="38"/>
      <c r="B229" s="38"/>
      <c r="C229" s="38"/>
      <c r="D229" s="38"/>
      <c r="E229" s="38"/>
      <c r="F229" s="49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</row>
    <row r="230" spans="1:21">
      <c r="A230" s="38"/>
      <c r="B230" s="38"/>
      <c r="C230" s="38"/>
      <c r="D230" s="38"/>
      <c r="E230" s="38"/>
      <c r="F230" s="49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</row>
    <row r="231" spans="1:21">
      <c r="A231" s="38"/>
      <c r="B231" s="38"/>
      <c r="C231" s="38"/>
      <c r="D231" s="38"/>
      <c r="E231" s="38"/>
      <c r="F231" s="49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</row>
    <row r="232" spans="1:21">
      <c r="A232" s="38"/>
      <c r="B232" s="38"/>
      <c r="C232" s="38"/>
      <c r="D232" s="38"/>
      <c r="E232" s="38"/>
      <c r="F232" s="49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</row>
    <row r="233" spans="1:21">
      <c r="A233" s="38"/>
      <c r="B233" s="38"/>
      <c r="C233" s="38"/>
      <c r="D233" s="38"/>
      <c r="E233" s="38"/>
      <c r="F233" s="49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</row>
    <row r="234" spans="1:21">
      <c r="A234" s="38"/>
      <c r="B234" s="38"/>
      <c r="C234" s="38"/>
      <c r="D234" s="38"/>
      <c r="E234" s="38"/>
      <c r="F234" s="49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</row>
    <row r="235" spans="1:21">
      <c r="A235" s="38"/>
      <c r="B235" s="38"/>
      <c r="C235" s="38"/>
      <c r="D235" s="38"/>
      <c r="E235" s="38"/>
      <c r="F235" s="49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</row>
    <row r="236" spans="1:21">
      <c r="A236" s="38"/>
      <c r="B236" s="38"/>
      <c r="C236" s="38"/>
      <c r="D236" s="38"/>
      <c r="E236" s="38"/>
      <c r="F236" s="49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</row>
    <row r="237" spans="1:21">
      <c r="A237" s="38"/>
      <c r="B237" s="38"/>
      <c r="C237" s="38"/>
      <c r="D237" s="38"/>
      <c r="E237" s="38"/>
      <c r="F237" s="49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</row>
    <row r="238" spans="1:21">
      <c r="A238" s="38"/>
      <c r="B238" s="38"/>
      <c r="C238" s="38"/>
      <c r="D238" s="38"/>
      <c r="E238" s="38"/>
      <c r="F238" s="49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</row>
    <row r="239" spans="1:21">
      <c r="A239" s="38"/>
      <c r="B239" s="38"/>
      <c r="C239" s="38"/>
      <c r="D239" s="38"/>
      <c r="E239" s="38"/>
      <c r="F239" s="49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</row>
    <row r="240" spans="1:21">
      <c r="A240" s="38"/>
      <c r="B240" s="38"/>
      <c r="C240" s="38"/>
      <c r="D240" s="38"/>
      <c r="E240" s="38"/>
      <c r="F240" s="49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</row>
    <row r="241" spans="1:21">
      <c r="A241" s="38"/>
      <c r="B241" s="38"/>
      <c r="C241" s="38"/>
      <c r="D241" s="38"/>
      <c r="E241" s="38"/>
      <c r="F241" s="49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</row>
    <row r="242" spans="1:21">
      <c r="A242" s="38"/>
      <c r="B242" s="38"/>
      <c r="C242" s="38"/>
      <c r="D242" s="38"/>
      <c r="E242" s="38"/>
      <c r="F242" s="49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</row>
    <row r="243" spans="1:21">
      <c r="A243" s="38"/>
      <c r="B243" s="38"/>
      <c r="C243" s="38"/>
      <c r="D243" s="38"/>
      <c r="E243" s="38"/>
      <c r="F243" s="49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</row>
    <row r="244" spans="1:21">
      <c r="A244" s="38"/>
      <c r="B244" s="38"/>
      <c r="C244" s="38"/>
      <c r="D244" s="38"/>
      <c r="E244" s="38"/>
      <c r="F244" s="49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</row>
    <row r="245" spans="1:21">
      <c r="A245" s="38"/>
      <c r="B245" s="38"/>
      <c r="C245" s="38"/>
      <c r="D245" s="38"/>
      <c r="E245" s="38"/>
      <c r="F245" s="49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</row>
    <row r="246" spans="1:21">
      <c r="A246" s="38"/>
      <c r="B246" s="38"/>
      <c r="C246" s="38"/>
      <c r="D246" s="38"/>
      <c r="E246" s="38"/>
      <c r="F246" s="49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</row>
    <row r="247" spans="1:21">
      <c r="A247" s="38"/>
      <c r="B247" s="38"/>
      <c r="C247" s="38"/>
      <c r="D247" s="38"/>
      <c r="E247" s="38"/>
      <c r="F247" s="49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</row>
    <row r="248" spans="1:21">
      <c r="A248" s="38"/>
      <c r="B248" s="38"/>
      <c r="C248" s="38"/>
      <c r="D248" s="38"/>
      <c r="E248" s="38"/>
      <c r="F248" s="49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</row>
    <row r="249" spans="1:21">
      <c r="A249" s="38"/>
      <c r="B249" s="38"/>
      <c r="C249" s="38"/>
      <c r="D249" s="38"/>
      <c r="E249" s="38"/>
      <c r="F249" s="49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</row>
    <row r="250" spans="1:21">
      <c r="A250" s="38"/>
      <c r="B250" s="38"/>
      <c r="C250" s="38"/>
      <c r="D250" s="38"/>
      <c r="E250" s="38"/>
      <c r="F250" s="49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</row>
    <row r="251" spans="1:21">
      <c r="A251" s="38"/>
      <c r="B251" s="38"/>
      <c r="C251" s="38"/>
      <c r="D251" s="38"/>
      <c r="E251" s="38"/>
      <c r="F251" s="49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</row>
    <row r="252" spans="1:21">
      <c r="A252" s="38"/>
      <c r="B252" s="38"/>
      <c r="C252" s="38"/>
      <c r="D252" s="38"/>
      <c r="E252" s="38"/>
      <c r="F252" s="49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</row>
    <row r="253" spans="1:21">
      <c r="A253" s="38"/>
      <c r="B253" s="38"/>
      <c r="C253" s="38"/>
      <c r="D253" s="38"/>
      <c r="E253" s="38"/>
      <c r="F253" s="49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</row>
    <row r="254" spans="1:21">
      <c r="A254" s="38"/>
      <c r="B254" s="38"/>
      <c r="C254" s="38"/>
      <c r="D254" s="38"/>
      <c r="E254" s="38"/>
      <c r="F254" s="49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</row>
    <row r="255" spans="1:21">
      <c r="A255" s="38"/>
      <c r="B255" s="38"/>
      <c r="C255" s="38"/>
      <c r="D255" s="38"/>
      <c r="E255" s="38"/>
      <c r="F255" s="49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</row>
    <row r="256" spans="1:21">
      <c r="A256" s="38"/>
      <c r="B256" s="38"/>
      <c r="C256" s="38"/>
      <c r="D256" s="38"/>
      <c r="E256" s="38"/>
      <c r="F256" s="49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</row>
    <row r="257" spans="1:21">
      <c r="A257" s="38"/>
      <c r="B257" s="38"/>
      <c r="C257" s="38"/>
      <c r="D257" s="38"/>
      <c r="E257" s="38"/>
      <c r="F257" s="49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</row>
    <row r="258" spans="1:21">
      <c r="A258" s="38"/>
      <c r="B258" s="38"/>
      <c r="C258" s="38"/>
      <c r="D258" s="38"/>
      <c r="E258" s="38"/>
      <c r="F258" s="49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</row>
    <row r="259" spans="1:21">
      <c r="A259" s="38"/>
      <c r="B259" s="38"/>
      <c r="C259" s="38"/>
      <c r="D259" s="38"/>
      <c r="E259" s="38"/>
      <c r="F259" s="49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</row>
    <row r="260" spans="1:21">
      <c r="A260" s="38"/>
      <c r="B260" s="38"/>
      <c r="C260" s="38"/>
      <c r="D260" s="38"/>
      <c r="E260" s="38"/>
      <c r="F260" s="49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</row>
    <row r="261" spans="1:21">
      <c r="A261" s="38"/>
      <c r="B261" s="38"/>
      <c r="C261" s="38"/>
      <c r="D261" s="38"/>
      <c r="E261" s="38"/>
      <c r="F261" s="49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</row>
    <row r="262" spans="1:21">
      <c r="A262" s="38"/>
      <c r="B262" s="38"/>
      <c r="C262" s="38"/>
      <c r="D262" s="38"/>
      <c r="E262" s="38"/>
      <c r="F262" s="49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</row>
    <row r="263" spans="1:21">
      <c r="A263" s="38"/>
      <c r="B263" s="38"/>
      <c r="C263" s="38"/>
      <c r="D263" s="38"/>
      <c r="E263" s="38"/>
      <c r="F263" s="49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</row>
    <row r="264" spans="1:21">
      <c r="A264" s="38"/>
      <c r="B264" s="38"/>
      <c r="C264" s="38"/>
      <c r="D264" s="38"/>
      <c r="E264" s="38"/>
      <c r="F264" s="49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</row>
    <row r="265" spans="1:21">
      <c r="A265" s="38"/>
      <c r="B265" s="38"/>
      <c r="C265" s="38"/>
      <c r="D265" s="38"/>
      <c r="E265" s="38"/>
      <c r="F265" s="49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</row>
    <row r="266" spans="1:21">
      <c r="A266" s="38"/>
      <c r="B266" s="38"/>
      <c r="C266" s="38"/>
      <c r="D266" s="38"/>
      <c r="E266" s="38"/>
      <c r="F266" s="49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</row>
    <row r="267" spans="1:21">
      <c r="A267" s="38"/>
      <c r="B267" s="38"/>
      <c r="C267" s="38"/>
      <c r="D267" s="38"/>
      <c r="E267" s="38"/>
      <c r="F267" s="49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</row>
    <row r="268" spans="1:21">
      <c r="A268" s="38"/>
      <c r="B268" s="38"/>
      <c r="C268" s="38"/>
      <c r="D268" s="38"/>
      <c r="E268" s="38"/>
      <c r="F268" s="49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</row>
    <row r="269" spans="1:21">
      <c r="A269" s="38"/>
      <c r="B269" s="38"/>
      <c r="C269" s="38"/>
      <c r="D269" s="38"/>
      <c r="E269" s="38"/>
      <c r="F269" s="49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</row>
    <row r="270" spans="1:21">
      <c r="A270" s="38"/>
      <c r="B270" s="38"/>
      <c r="C270" s="38"/>
      <c r="D270" s="38"/>
      <c r="E270" s="38"/>
      <c r="F270" s="49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</row>
    <row r="271" spans="1:21">
      <c r="A271" s="38"/>
      <c r="B271" s="38"/>
      <c r="C271" s="38"/>
      <c r="D271" s="38"/>
      <c r="E271" s="38"/>
      <c r="F271" s="49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</row>
    <row r="272" spans="1:21">
      <c r="A272" s="38"/>
      <c r="B272" s="38"/>
      <c r="C272" s="38"/>
      <c r="D272" s="38"/>
      <c r="E272" s="38"/>
      <c r="F272" s="49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</row>
    <row r="273" spans="1:21">
      <c r="A273" s="38"/>
      <c r="B273" s="38"/>
      <c r="C273" s="38"/>
      <c r="D273" s="38"/>
      <c r="E273" s="38"/>
      <c r="F273" s="49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</row>
    <row r="274" spans="1:21">
      <c r="A274" s="38"/>
      <c r="B274" s="38"/>
      <c r="C274" s="38"/>
      <c r="D274" s="38"/>
      <c r="E274" s="38"/>
      <c r="F274" s="49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</row>
    <row r="275" spans="1:21">
      <c r="A275" s="38"/>
      <c r="B275" s="38"/>
      <c r="C275" s="38"/>
      <c r="D275" s="38"/>
      <c r="E275" s="38"/>
      <c r="F275" s="49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</row>
    <row r="276" spans="1:21">
      <c r="A276" s="38"/>
      <c r="B276" s="38"/>
      <c r="C276" s="38"/>
      <c r="D276" s="38"/>
      <c r="E276" s="38"/>
      <c r="F276" s="49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</row>
    <row r="277" spans="1:21">
      <c r="A277" s="38"/>
      <c r="B277" s="38"/>
      <c r="C277" s="38"/>
      <c r="D277" s="38"/>
      <c r="E277" s="38"/>
      <c r="F277" s="49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</row>
    <row r="278" spans="1:21">
      <c r="A278" s="38"/>
      <c r="B278" s="38"/>
      <c r="C278" s="38"/>
      <c r="D278" s="38"/>
      <c r="E278" s="38"/>
      <c r="F278" s="49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</row>
    <row r="279" spans="1:21">
      <c r="A279" s="38"/>
      <c r="B279" s="38"/>
      <c r="C279" s="38"/>
      <c r="D279" s="38"/>
      <c r="E279" s="38"/>
      <c r="F279" s="49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</row>
    <row r="280" spans="1:21">
      <c r="A280" s="38"/>
      <c r="B280" s="38"/>
      <c r="C280" s="38"/>
      <c r="D280" s="38"/>
      <c r="E280" s="38"/>
      <c r="F280" s="49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</row>
    <row r="281" spans="1:21">
      <c r="A281" s="38"/>
      <c r="B281" s="38"/>
      <c r="C281" s="38"/>
      <c r="D281" s="38"/>
      <c r="E281" s="38"/>
      <c r="F281" s="49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</row>
    <row r="282" spans="1:21">
      <c r="A282" s="38"/>
      <c r="B282" s="38"/>
      <c r="C282" s="38"/>
      <c r="D282" s="38"/>
      <c r="E282" s="38"/>
      <c r="F282" s="49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</row>
    <row r="283" spans="1:21">
      <c r="A283" s="38"/>
      <c r="B283" s="38"/>
      <c r="C283" s="38"/>
      <c r="D283" s="38"/>
      <c r="E283" s="38"/>
      <c r="F283" s="49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</row>
    <row r="284" spans="1:21">
      <c r="A284" s="38"/>
      <c r="B284" s="38"/>
      <c r="C284" s="38"/>
      <c r="D284" s="38"/>
      <c r="E284" s="38"/>
      <c r="F284" s="49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</row>
    <row r="285" spans="1:21">
      <c r="A285" s="38"/>
      <c r="B285" s="38"/>
      <c r="C285" s="38"/>
      <c r="D285" s="38"/>
      <c r="E285" s="38"/>
      <c r="F285" s="49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</row>
    <row r="286" spans="1:21">
      <c r="A286" s="38"/>
      <c r="B286" s="38"/>
      <c r="C286" s="38"/>
      <c r="D286" s="38"/>
      <c r="E286" s="38"/>
      <c r="F286" s="49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</row>
    <row r="287" spans="1:21">
      <c r="A287" s="38"/>
      <c r="B287" s="38"/>
      <c r="C287" s="38"/>
      <c r="D287" s="38"/>
      <c r="E287" s="38"/>
      <c r="F287" s="49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</row>
    <row r="288" spans="1:21">
      <c r="A288" s="38"/>
      <c r="B288" s="38"/>
      <c r="C288" s="38"/>
      <c r="D288" s="38"/>
      <c r="E288" s="38"/>
      <c r="F288" s="49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</row>
    <row r="289" spans="1:21">
      <c r="A289" s="38"/>
      <c r="B289" s="38"/>
      <c r="C289" s="38"/>
      <c r="D289" s="38"/>
      <c r="E289" s="38"/>
      <c r="F289" s="49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</row>
    <row r="290" spans="1:21">
      <c r="A290" s="38"/>
      <c r="B290" s="38"/>
      <c r="C290" s="38"/>
      <c r="D290" s="38"/>
      <c r="E290" s="38"/>
      <c r="F290" s="49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</row>
    <row r="291" spans="1:21">
      <c r="A291" s="38"/>
      <c r="B291" s="38"/>
      <c r="C291" s="38"/>
      <c r="D291" s="38"/>
      <c r="E291" s="38"/>
      <c r="F291" s="49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</row>
    <row r="292" spans="1:21">
      <c r="A292" s="38"/>
      <c r="B292" s="38"/>
      <c r="C292" s="38"/>
      <c r="D292" s="38"/>
      <c r="E292" s="38"/>
      <c r="F292" s="49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</row>
    <row r="293" spans="1:21">
      <c r="A293" s="38"/>
      <c r="B293" s="38"/>
      <c r="C293" s="38"/>
      <c r="D293" s="38"/>
      <c r="E293" s="38"/>
      <c r="F293" s="49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</row>
    <row r="294" spans="1:21">
      <c r="A294" s="38"/>
      <c r="B294" s="38"/>
      <c r="C294" s="38"/>
      <c r="D294" s="38"/>
      <c r="E294" s="38"/>
      <c r="F294" s="49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</row>
    <row r="295" spans="1:21">
      <c r="A295" s="38"/>
      <c r="B295" s="38"/>
      <c r="C295" s="38"/>
      <c r="D295" s="38"/>
      <c r="E295" s="38"/>
      <c r="F295" s="49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</row>
    <row r="296" spans="1:21">
      <c r="A296" s="38"/>
      <c r="B296" s="38"/>
      <c r="C296" s="38"/>
      <c r="D296" s="38"/>
      <c r="E296" s="38"/>
      <c r="F296" s="49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</row>
    <row r="297" spans="1:21">
      <c r="A297" s="38"/>
      <c r="B297" s="38"/>
      <c r="C297" s="38"/>
      <c r="D297" s="38"/>
      <c r="E297" s="38"/>
      <c r="F297" s="49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</row>
    <row r="298" spans="1:21">
      <c r="A298" s="38"/>
      <c r="B298" s="38"/>
      <c r="C298" s="38"/>
      <c r="D298" s="38"/>
      <c r="E298" s="38"/>
      <c r="F298" s="49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</row>
    <row r="299" spans="1:21">
      <c r="A299" s="38"/>
      <c r="B299" s="38"/>
      <c r="C299" s="38"/>
      <c r="D299" s="38"/>
      <c r="E299" s="38"/>
      <c r="F299" s="49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</row>
    <row r="300" spans="1:21">
      <c r="A300" s="38"/>
      <c r="B300" s="38"/>
      <c r="C300" s="38"/>
      <c r="D300" s="38"/>
      <c r="E300" s="38"/>
      <c r="F300" s="49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</row>
    <row r="301" spans="1:21">
      <c r="A301" s="38"/>
      <c r="B301" s="38"/>
      <c r="C301" s="38"/>
      <c r="D301" s="38"/>
      <c r="E301" s="38"/>
      <c r="F301" s="49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</row>
    <row r="302" spans="1:21">
      <c r="A302" s="38"/>
      <c r="B302" s="38"/>
      <c r="C302" s="38"/>
      <c r="D302" s="38"/>
      <c r="E302" s="38"/>
      <c r="F302" s="49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</row>
    <row r="303" spans="1:21">
      <c r="A303" s="38"/>
      <c r="B303" s="38"/>
      <c r="C303" s="38"/>
      <c r="D303" s="38"/>
      <c r="E303" s="38"/>
      <c r="F303" s="49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</row>
    <row r="304" spans="1:21">
      <c r="A304" s="38"/>
      <c r="B304" s="38"/>
      <c r="C304" s="38"/>
      <c r="D304" s="38"/>
      <c r="E304" s="38"/>
      <c r="F304" s="49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</row>
    <row r="305" spans="1:21">
      <c r="A305" s="38"/>
      <c r="B305" s="38"/>
      <c r="C305" s="38"/>
      <c r="D305" s="38"/>
      <c r="E305" s="38"/>
      <c r="F305" s="49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</row>
    <row r="306" spans="1:21">
      <c r="A306" s="38"/>
      <c r="B306" s="38"/>
      <c r="C306" s="38"/>
      <c r="D306" s="38"/>
      <c r="E306" s="38"/>
      <c r="F306" s="49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</row>
    <row r="307" spans="1:21">
      <c r="A307" s="38"/>
      <c r="B307" s="38"/>
      <c r="C307" s="38"/>
      <c r="D307" s="38"/>
      <c r="E307" s="38"/>
      <c r="F307" s="49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</row>
    <row r="308" spans="1:21">
      <c r="A308" s="38"/>
      <c r="B308" s="38"/>
      <c r="C308" s="38"/>
      <c r="D308" s="38"/>
      <c r="E308" s="38"/>
      <c r="F308" s="49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</row>
    <row r="309" spans="1:21">
      <c r="A309" s="38"/>
      <c r="B309" s="38"/>
      <c r="C309" s="38"/>
      <c r="D309" s="38"/>
      <c r="E309" s="38"/>
      <c r="F309" s="49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</row>
    <row r="310" spans="1:21">
      <c r="A310" s="38"/>
      <c r="B310" s="38"/>
      <c r="C310" s="38"/>
      <c r="D310" s="38"/>
      <c r="E310" s="38"/>
      <c r="F310" s="49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</row>
    <row r="311" spans="1:21">
      <c r="A311" s="38"/>
      <c r="B311" s="38"/>
      <c r="C311" s="38"/>
      <c r="D311" s="38"/>
      <c r="E311" s="38"/>
      <c r="F311" s="49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</row>
    <row r="312" spans="1:21">
      <c r="A312" s="38"/>
      <c r="B312" s="38"/>
      <c r="C312" s="38"/>
      <c r="D312" s="38"/>
      <c r="E312" s="38"/>
      <c r="F312" s="49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</row>
    <row r="313" spans="1:21">
      <c r="A313" s="38"/>
      <c r="B313" s="38"/>
      <c r="C313" s="38"/>
      <c r="D313" s="38"/>
      <c r="E313" s="38"/>
      <c r="F313" s="49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</row>
    <row r="314" spans="1:21">
      <c r="A314" s="38"/>
      <c r="B314" s="38"/>
      <c r="C314" s="38"/>
      <c r="D314" s="38"/>
      <c r="E314" s="38"/>
      <c r="F314" s="49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</row>
    <row r="315" spans="1:21">
      <c r="A315" s="38"/>
      <c r="B315" s="38"/>
      <c r="C315" s="38"/>
      <c r="D315" s="38"/>
      <c r="E315" s="38"/>
      <c r="F315" s="49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</row>
    <row r="316" spans="1:21">
      <c r="A316" s="38"/>
      <c r="B316" s="38"/>
      <c r="C316" s="38"/>
      <c r="D316" s="38"/>
      <c r="E316" s="38"/>
      <c r="F316" s="49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</row>
    <row r="317" spans="1:21">
      <c r="A317" s="38"/>
      <c r="B317" s="38"/>
      <c r="C317" s="38"/>
      <c r="D317" s="38"/>
      <c r="E317" s="38"/>
      <c r="F317" s="49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</row>
    <row r="318" spans="1:21">
      <c r="A318" s="38"/>
      <c r="B318" s="38"/>
      <c r="C318" s="38"/>
      <c r="D318" s="38"/>
      <c r="E318" s="38"/>
      <c r="F318" s="49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</row>
    <row r="319" spans="1:21">
      <c r="A319" s="38"/>
      <c r="B319" s="38"/>
      <c r="C319" s="38"/>
      <c r="D319" s="38"/>
      <c r="E319" s="38"/>
      <c r="F319" s="49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</row>
    <row r="320" spans="1:21">
      <c r="A320" s="38"/>
      <c r="B320" s="38"/>
      <c r="C320" s="38"/>
      <c r="D320" s="38"/>
      <c r="E320" s="38"/>
      <c r="F320" s="49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</row>
    <row r="321" spans="1:21">
      <c r="A321" s="38"/>
      <c r="B321" s="38"/>
      <c r="C321" s="38"/>
      <c r="D321" s="38"/>
      <c r="E321" s="38"/>
      <c r="F321" s="49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</row>
    <row r="322" spans="1:21">
      <c r="A322" s="38"/>
      <c r="B322" s="38"/>
      <c r="C322" s="38"/>
      <c r="D322" s="38"/>
      <c r="E322" s="38"/>
      <c r="F322" s="49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</row>
    <row r="323" spans="1:21">
      <c r="A323" s="38"/>
      <c r="B323" s="38"/>
      <c r="C323" s="38"/>
      <c r="D323" s="38"/>
      <c r="E323" s="38"/>
      <c r="F323" s="49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</row>
    <row r="324" spans="1:21">
      <c r="A324" s="38"/>
      <c r="B324" s="38"/>
      <c r="C324" s="38"/>
      <c r="D324" s="38"/>
      <c r="E324" s="38"/>
      <c r="F324" s="49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</row>
    <row r="325" spans="1:21">
      <c r="A325" s="38"/>
      <c r="B325" s="38"/>
      <c r="C325" s="38"/>
      <c r="D325" s="38"/>
      <c r="E325" s="38"/>
      <c r="F325" s="49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</row>
    <row r="326" spans="1:21">
      <c r="A326" s="38"/>
      <c r="B326" s="38"/>
      <c r="C326" s="38"/>
      <c r="D326" s="38"/>
      <c r="E326" s="38"/>
      <c r="F326" s="49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</row>
    <row r="327" spans="1:21">
      <c r="A327" s="38"/>
      <c r="B327" s="38"/>
      <c r="C327" s="38"/>
      <c r="D327" s="38"/>
      <c r="E327" s="38"/>
      <c r="F327" s="49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</row>
    <row r="328" spans="1:21">
      <c r="A328" s="38"/>
      <c r="B328" s="38"/>
      <c r="C328" s="38"/>
      <c r="D328" s="38"/>
      <c r="E328" s="38"/>
      <c r="F328" s="49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</row>
    <row r="329" spans="1:21">
      <c r="A329" s="38"/>
      <c r="B329" s="38"/>
      <c r="C329" s="38"/>
      <c r="D329" s="38"/>
      <c r="E329" s="38"/>
      <c r="F329" s="49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</row>
    <row r="330" spans="1:21">
      <c r="A330" s="38"/>
      <c r="B330" s="38"/>
      <c r="C330" s="38"/>
      <c r="D330" s="38"/>
      <c r="E330" s="38"/>
      <c r="F330" s="49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</row>
    <row r="331" spans="1:21">
      <c r="A331" s="38"/>
      <c r="B331" s="38"/>
      <c r="C331" s="38"/>
      <c r="D331" s="38"/>
      <c r="E331" s="38"/>
      <c r="F331" s="49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</row>
    <row r="332" spans="1:21">
      <c r="A332" s="38"/>
      <c r="B332" s="38"/>
      <c r="C332" s="38"/>
      <c r="D332" s="38"/>
      <c r="E332" s="38"/>
      <c r="F332" s="49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</row>
    <row r="333" spans="1:21">
      <c r="A333" s="38"/>
      <c r="B333" s="38"/>
      <c r="C333" s="38"/>
      <c r="D333" s="38"/>
      <c r="E333" s="38"/>
      <c r="F333" s="49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</row>
    <row r="334" spans="1:21">
      <c r="A334" s="38"/>
      <c r="B334" s="38"/>
      <c r="C334" s="38"/>
      <c r="D334" s="38"/>
      <c r="E334" s="38"/>
      <c r="F334" s="49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</row>
    <row r="335" spans="1:21">
      <c r="A335" s="38"/>
      <c r="B335" s="38"/>
      <c r="C335" s="38"/>
      <c r="D335" s="38"/>
      <c r="E335" s="38"/>
      <c r="F335" s="49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</row>
    <row r="336" spans="1:21">
      <c r="A336" s="38"/>
      <c r="B336" s="38"/>
      <c r="C336" s="38"/>
      <c r="D336" s="38"/>
      <c r="E336" s="38"/>
      <c r="F336" s="49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</row>
    <row r="337" spans="1:21">
      <c r="A337" s="38"/>
      <c r="B337" s="38"/>
      <c r="C337" s="38"/>
      <c r="D337" s="38"/>
      <c r="E337" s="38"/>
      <c r="F337" s="49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</row>
    <row r="338" spans="1:21">
      <c r="A338" s="38"/>
      <c r="B338" s="38"/>
      <c r="C338" s="38"/>
      <c r="D338" s="38"/>
      <c r="E338" s="38"/>
      <c r="F338" s="49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</row>
    <row r="339" spans="1:21">
      <c r="A339" s="38"/>
      <c r="B339" s="38"/>
      <c r="C339" s="38"/>
      <c r="D339" s="38"/>
      <c r="E339" s="38"/>
      <c r="F339" s="49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</row>
    <row r="340" spans="1:21">
      <c r="A340" s="38"/>
      <c r="B340" s="38"/>
      <c r="C340" s="38"/>
      <c r="D340" s="38"/>
      <c r="E340" s="38"/>
      <c r="F340" s="49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</row>
    <row r="341" spans="1:21">
      <c r="A341" s="38"/>
      <c r="B341" s="38"/>
      <c r="C341" s="38"/>
      <c r="D341" s="38"/>
      <c r="E341" s="38"/>
      <c r="F341" s="49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</row>
    <row r="342" spans="1:21">
      <c r="A342" s="38"/>
      <c r="B342" s="38"/>
      <c r="C342" s="38"/>
      <c r="D342" s="38"/>
      <c r="E342" s="38"/>
      <c r="F342" s="49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</row>
    <row r="343" spans="1:21">
      <c r="A343" s="38"/>
      <c r="B343" s="38"/>
      <c r="C343" s="38"/>
      <c r="D343" s="38"/>
      <c r="E343" s="38"/>
      <c r="F343" s="49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</row>
    <row r="344" spans="1:21">
      <c r="A344" s="38"/>
      <c r="B344" s="38"/>
      <c r="C344" s="38"/>
      <c r="D344" s="38"/>
      <c r="E344" s="38"/>
      <c r="F344" s="49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</row>
    <row r="345" spans="1:21">
      <c r="A345" s="38"/>
      <c r="B345" s="38"/>
      <c r="C345" s="38"/>
      <c r="D345" s="38"/>
      <c r="E345" s="38"/>
      <c r="F345" s="49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</row>
    <row r="346" spans="1:21">
      <c r="A346" s="38"/>
      <c r="B346" s="38"/>
      <c r="C346" s="38"/>
      <c r="D346" s="38"/>
      <c r="E346" s="38"/>
      <c r="F346" s="49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</row>
    <row r="347" spans="1:21">
      <c r="A347" s="38"/>
      <c r="B347" s="38"/>
      <c r="C347" s="38"/>
      <c r="D347" s="38"/>
      <c r="E347" s="38"/>
      <c r="F347" s="49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</row>
    <row r="348" spans="1:21">
      <c r="A348" s="38"/>
      <c r="B348" s="38"/>
      <c r="C348" s="38"/>
      <c r="D348" s="38"/>
      <c r="E348" s="38"/>
      <c r="F348" s="49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</row>
    <row r="349" spans="1:21">
      <c r="A349" s="38"/>
      <c r="B349" s="38"/>
      <c r="C349" s="38"/>
      <c r="D349" s="38"/>
      <c r="E349" s="38"/>
      <c r="F349" s="49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</row>
    <row r="350" spans="1:21">
      <c r="A350" s="38"/>
      <c r="B350" s="38"/>
      <c r="C350" s="38"/>
      <c r="D350" s="38"/>
      <c r="E350" s="38"/>
      <c r="F350" s="49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</row>
    <row r="351" spans="1:21">
      <c r="A351" s="38"/>
      <c r="B351" s="38"/>
      <c r="C351" s="38"/>
      <c r="D351" s="38"/>
      <c r="E351" s="38"/>
      <c r="F351" s="49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</row>
    <row r="352" spans="1:21">
      <c r="A352" s="38"/>
      <c r="B352" s="38"/>
      <c r="C352" s="38"/>
      <c r="D352" s="38"/>
      <c r="E352" s="38"/>
      <c r="F352" s="49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</row>
    <row r="353" spans="1:21">
      <c r="A353" s="38"/>
      <c r="B353" s="38"/>
      <c r="C353" s="38"/>
      <c r="D353" s="38"/>
      <c r="E353" s="38"/>
      <c r="F353" s="49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</row>
    <row r="354" spans="1:21">
      <c r="A354" s="38"/>
      <c r="B354" s="38"/>
      <c r="C354" s="38"/>
      <c r="D354" s="38"/>
      <c r="E354" s="38"/>
      <c r="F354" s="49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</row>
    <row r="355" spans="1:21">
      <c r="A355" s="38"/>
      <c r="B355" s="38"/>
      <c r="C355" s="38"/>
      <c r="D355" s="38"/>
      <c r="E355" s="38"/>
      <c r="F355" s="49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</row>
    <row r="356" spans="1:21">
      <c r="A356" s="38"/>
      <c r="B356" s="38"/>
      <c r="C356" s="38"/>
      <c r="D356" s="38"/>
      <c r="E356" s="38"/>
      <c r="F356" s="49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</row>
    <row r="357" spans="1:21">
      <c r="A357" s="38"/>
      <c r="B357" s="38"/>
      <c r="C357" s="38"/>
      <c r="D357" s="38"/>
      <c r="E357" s="38"/>
      <c r="F357" s="49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</row>
    <row r="358" spans="1:21">
      <c r="A358" s="38"/>
      <c r="B358" s="38"/>
      <c r="C358" s="38"/>
      <c r="D358" s="38"/>
      <c r="E358" s="38"/>
      <c r="F358" s="49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</row>
    <row r="359" spans="1:21">
      <c r="A359" s="38"/>
      <c r="B359" s="38"/>
      <c r="C359" s="38"/>
      <c r="D359" s="38"/>
      <c r="E359" s="38"/>
      <c r="F359" s="49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</row>
    <row r="360" spans="1:21">
      <c r="A360" s="38"/>
      <c r="B360" s="38"/>
      <c r="C360" s="38"/>
      <c r="D360" s="38"/>
      <c r="E360" s="38"/>
      <c r="F360" s="49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</row>
    <row r="361" spans="1:21">
      <c r="A361" s="38"/>
      <c r="B361" s="38"/>
      <c r="C361" s="38"/>
      <c r="D361" s="38"/>
      <c r="E361" s="38"/>
      <c r="F361" s="49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</row>
    <row r="362" spans="1:21">
      <c r="A362" s="38"/>
      <c r="B362" s="38"/>
      <c r="C362" s="38"/>
      <c r="D362" s="38"/>
      <c r="E362" s="38"/>
      <c r="F362" s="49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</row>
    <row r="363" spans="1:21">
      <c r="A363" s="38"/>
      <c r="B363" s="38"/>
      <c r="C363" s="38"/>
      <c r="D363" s="38"/>
      <c r="E363" s="38"/>
      <c r="F363" s="49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</row>
    <row r="364" spans="1:21">
      <c r="A364" s="38"/>
      <c r="B364" s="38"/>
      <c r="C364" s="38"/>
      <c r="D364" s="38"/>
      <c r="E364" s="38"/>
      <c r="F364" s="49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</row>
    <row r="365" spans="1:21">
      <c r="A365" s="38"/>
      <c r="B365" s="38"/>
      <c r="C365" s="38"/>
      <c r="D365" s="38"/>
      <c r="E365" s="38"/>
      <c r="F365" s="49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</row>
    <row r="366" spans="1:21">
      <c r="A366" s="38"/>
      <c r="B366" s="38"/>
      <c r="C366" s="38"/>
      <c r="D366" s="38"/>
      <c r="E366" s="38"/>
      <c r="F366" s="49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</row>
    <row r="367" spans="1:21">
      <c r="A367" s="38"/>
      <c r="B367" s="38"/>
      <c r="C367" s="38"/>
      <c r="D367" s="38"/>
      <c r="E367" s="38"/>
      <c r="F367" s="49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</row>
    <row r="368" spans="1:21">
      <c r="A368" s="38"/>
      <c r="B368" s="38"/>
      <c r="C368" s="38"/>
      <c r="D368" s="38"/>
      <c r="E368" s="38"/>
      <c r="F368" s="49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</row>
    <row r="369" spans="1:21">
      <c r="A369" s="38"/>
      <c r="B369" s="38"/>
      <c r="C369" s="38"/>
      <c r="D369" s="38"/>
      <c r="E369" s="38"/>
      <c r="F369" s="49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</row>
    <row r="370" spans="1:21">
      <c r="A370" s="38"/>
      <c r="B370" s="38"/>
      <c r="C370" s="38"/>
      <c r="D370" s="38"/>
      <c r="E370" s="38"/>
      <c r="F370" s="49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</row>
    <row r="371" spans="1:21">
      <c r="A371" s="38"/>
      <c r="B371" s="38"/>
      <c r="C371" s="38"/>
      <c r="D371" s="38"/>
      <c r="E371" s="38"/>
      <c r="F371" s="49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</row>
    <row r="372" spans="1:21">
      <c r="A372" s="38"/>
      <c r="B372" s="38"/>
      <c r="C372" s="38"/>
      <c r="D372" s="38"/>
      <c r="E372" s="38"/>
      <c r="F372" s="49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</row>
    <row r="373" spans="1:21">
      <c r="A373" s="38"/>
      <c r="B373" s="38"/>
      <c r="C373" s="38"/>
      <c r="D373" s="38"/>
      <c r="E373" s="38"/>
      <c r="F373" s="49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</row>
    <row r="374" spans="1:21">
      <c r="A374" s="38"/>
      <c r="B374" s="38"/>
      <c r="C374" s="38"/>
      <c r="D374" s="38"/>
      <c r="E374" s="38"/>
      <c r="F374" s="49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</row>
    <row r="375" spans="1:21">
      <c r="A375" s="38"/>
      <c r="B375" s="38"/>
      <c r="C375" s="38"/>
      <c r="D375" s="38"/>
      <c r="E375" s="38"/>
      <c r="F375" s="49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</row>
    <row r="376" spans="1:21">
      <c r="A376" s="38"/>
      <c r="B376" s="38"/>
      <c r="C376" s="38"/>
      <c r="D376" s="38"/>
      <c r="E376" s="38"/>
      <c r="F376" s="49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</row>
    <row r="377" spans="1:21">
      <c r="A377" s="38"/>
      <c r="B377" s="38"/>
      <c r="C377" s="38"/>
      <c r="D377" s="38"/>
      <c r="E377" s="38"/>
      <c r="F377" s="49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</row>
    <row r="378" spans="1:21">
      <c r="A378" s="38"/>
      <c r="B378" s="38"/>
      <c r="C378" s="38"/>
      <c r="D378" s="38"/>
      <c r="E378" s="38"/>
      <c r="F378" s="49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</row>
    <row r="379" spans="1:21">
      <c r="A379" s="38"/>
      <c r="B379" s="38"/>
      <c r="C379" s="38"/>
      <c r="D379" s="38"/>
      <c r="E379" s="38"/>
      <c r="F379" s="49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</row>
    <row r="380" spans="1:21">
      <c r="A380" s="38"/>
      <c r="B380" s="38"/>
      <c r="C380" s="38"/>
      <c r="D380" s="38"/>
      <c r="E380" s="38"/>
      <c r="F380" s="49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</row>
    <row r="381" spans="1:21">
      <c r="A381" s="38"/>
      <c r="B381" s="38"/>
      <c r="C381" s="38"/>
      <c r="D381" s="38"/>
      <c r="E381" s="38"/>
      <c r="F381" s="49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</row>
    <row r="382" spans="1:21">
      <c r="A382" s="38"/>
      <c r="B382" s="38"/>
      <c r="C382" s="38"/>
      <c r="D382" s="38"/>
      <c r="E382" s="38"/>
      <c r="F382" s="49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</row>
    <row r="383" spans="1:21">
      <c r="A383" s="38"/>
      <c r="B383" s="38"/>
      <c r="C383" s="38"/>
      <c r="D383" s="38"/>
      <c r="E383" s="38"/>
      <c r="F383" s="49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</row>
    <row r="384" spans="1:21">
      <c r="A384" s="38"/>
      <c r="B384" s="38"/>
      <c r="C384" s="38"/>
      <c r="D384" s="38"/>
      <c r="E384" s="38"/>
      <c r="F384" s="49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</row>
    <row r="385" spans="1:21">
      <c r="A385" s="38"/>
      <c r="B385" s="38"/>
      <c r="C385" s="38"/>
      <c r="D385" s="38"/>
      <c r="E385" s="38"/>
      <c r="F385" s="49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</row>
    <row r="386" spans="1:21">
      <c r="A386" s="38"/>
      <c r="B386" s="38"/>
      <c r="C386" s="38"/>
      <c r="D386" s="38"/>
      <c r="E386" s="38"/>
      <c r="F386" s="49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</row>
    <row r="387" spans="1:21">
      <c r="A387" s="38"/>
      <c r="B387" s="38"/>
      <c r="C387" s="38"/>
      <c r="D387" s="38"/>
      <c r="E387" s="38"/>
      <c r="F387" s="49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</row>
    <row r="388" spans="1:21">
      <c r="A388" s="38"/>
      <c r="B388" s="38"/>
      <c r="C388" s="38"/>
      <c r="D388" s="38"/>
      <c r="E388" s="38"/>
      <c r="F388" s="49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</row>
    <row r="389" spans="1:21">
      <c r="A389" s="38"/>
      <c r="B389" s="38"/>
      <c r="C389" s="38"/>
      <c r="D389" s="38"/>
      <c r="E389" s="38"/>
      <c r="F389" s="49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</row>
    <row r="390" spans="1:21">
      <c r="A390" s="38"/>
      <c r="B390" s="38"/>
      <c r="C390" s="38"/>
      <c r="D390" s="38"/>
      <c r="E390" s="38"/>
      <c r="F390" s="49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</row>
    <row r="391" spans="1:21">
      <c r="A391" s="38"/>
      <c r="B391" s="38"/>
      <c r="C391" s="38"/>
      <c r="D391" s="38"/>
      <c r="E391" s="38"/>
      <c r="F391" s="49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</row>
    <row r="392" spans="1:21">
      <c r="A392" s="38"/>
      <c r="B392" s="38"/>
      <c r="C392" s="38"/>
      <c r="D392" s="38"/>
      <c r="E392" s="38"/>
      <c r="F392" s="49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</row>
    <row r="393" spans="1:21">
      <c r="A393" s="38"/>
      <c r="B393" s="38"/>
      <c r="C393" s="38"/>
      <c r="D393" s="38"/>
      <c r="E393" s="38"/>
      <c r="F393" s="49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</row>
    <row r="394" spans="1:21">
      <c r="A394" s="38"/>
      <c r="B394" s="38"/>
      <c r="C394" s="38"/>
      <c r="D394" s="38"/>
      <c r="E394" s="38"/>
      <c r="F394" s="49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</row>
    <row r="395" spans="1:21">
      <c r="A395" s="38"/>
      <c r="B395" s="38"/>
      <c r="C395" s="38"/>
      <c r="D395" s="38"/>
      <c r="E395" s="38"/>
      <c r="F395" s="49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</row>
    <row r="396" spans="1:21">
      <c r="A396" s="38"/>
      <c r="B396" s="38"/>
      <c r="C396" s="38"/>
      <c r="D396" s="38"/>
      <c r="E396" s="38"/>
      <c r="F396" s="49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</row>
    <row r="397" spans="1:21">
      <c r="A397" s="38"/>
      <c r="B397" s="38"/>
      <c r="C397" s="38"/>
      <c r="D397" s="38"/>
      <c r="E397" s="38"/>
      <c r="F397" s="49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</row>
    <row r="398" spans="1:21">
      <c r="A398" s="38"/>
      <c r="B398" s="38"/>
      <c r="C398" s="38"/>
      <c r="D398" s="38"/>
      <c r="E398" s="38"/>
      <c r="F398" s="49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</row>
    <row r="399" spans="1:21">
      <c r="A399" s="38"/>
      <c r="B399" s="38"/>
      <c r="C399" s="38"/>
      <c r="D399" s="38"/>
      <c r="E399" s="38"/>
      <c r="F399" s="49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</row>
    <row r="400" spans="1:21">
      <c r="A400" s="38"/>
      <c r="B400" s="38"/>
      <c r="C400" s="38"/>
      <c r="D400" s="38"/>
      <c r="E400" s="38"/>
      <c r="F400" s="49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</row>
    <row r="401" spans="1:21">
      <c r="A401" s="38"/>
      <c r="B401" s="38"/>
      <c r="C401" s="38"/>
      <c r="D401" s="38"/>
      <c r="E401" s="38"/>
      <c r="F401" s="49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</row>
    <row r="402" spans="1:21">
      <c r="A402" s="38"/>
      <c r="B402" s="38"/>
      <c r="C402" s="38"/>
      <c r="D402" s="38"/>
      <c r="E402" s="38"/>
      <c r="F402" s="49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</row>
    <row r="403" spans="1:21">
      <c r="A403" s="38"/>
      <c r="B403" s="38"/>
      <c r="C403" s="38"/>
      <c r="D403" s="38"/>
      <c r="E403" s="38"/>
      <c r="F403" s="49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</row>
    <row r="404" spans="1:21">
      <c r="A404" s="38"/>
      <c r="B404" s="38"/>
      <c r="C404" s="38"/>
      <c r="D404" s="38"/>
      <c r="E404" s="38"/>
      <c r="F404" s="49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</row>
    <row r="405" spans="1:21">
      <c r="A405" s="38"/>
      <c r="B405" s="38"/>
      <c r="C405" s="38"/>
      <c r="D405" s="38"/>
      <c r="E405" s="38"/>
      <c r="F405" s="49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</row>
    <row r="406" spans="1:21">
      <c r="A406" s="38"/>
      <c r="B406" s="38"/>
      <c r="C406" s="38"/>
      <c r="D406" s="38"/>
      <c r="E406" s="38"/>
      <c r="F406" s="49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</row>
    <row r="407" spans="1:21">
      <c r="A407" s="38"/>
      <c r="B407" s="38"/>
      <c r="C407" s="38"/>
      <c r="D407" s="38"/>
      <c r="E407" s="38"/>
      <c r="F407" s="49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</row>
    <row r="408" spans="1:21">
      <c r="A408" s="38"/>
      <c r="B408" s="38"/>
      <c r="C408" s="38"/>
      <c r="D408" s="38"/>
      <c r="E408" s="38"/>
      <c r="F408" s="49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</row>
    <row r="409" spans="1:21">
      <c r="A409" s="38"/>
      <c r="B409" s="38"/>
      <c r="C409" s="38"/>
      <c r="D409" s="38"/>
      <c r="E409" s="38"/>
      <c r="F409" s="49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</row>
    <row r="410" spans="1:21">
      <c r="A410" s="38"/>
      <c r="B410" s="38"/>
      <c r="C410" s="38"/>
      <c r="D410" s="38"/>
      <c r="E410" s="38"/>
      <c r="F410" s="49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</row>
    <row r="411" spans="1:21">
      <c r="A411" s="38"/>
      <c r="B411" s="38"/>
      <c r="C411" s="38"/>
      <c r="D411" s="38"/>
      <c r="E411" s="38"/>
      <c r="F411" s="49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</row>
    <row r="412" spans="1:21">
      <c r="A412" s="38"/>
      <c r="B412" s="38"/>
      <c r="C412" s="38"/>
      <c r="D412" s="38"/>
      <c r="E412" s="38"/>
      <c r="F412" s="49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</row>
    <row r="413" spans="1:21">
      <c r="A413" s="38"/>
      <c r="B413" s="38"/>
      <c r="C413" s="38"/>
      <c r="D413" s="38"/>
      <c r="E413" s="38"/>
      <c r="F413" s="49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</row>
    <row r="414" spans="1:21">
      <c r="A414" s="38"/>
      <c r="B414" s="38"/>
      <c r="C414" s="38"/>
      <c r="D414" s="38"/>
      <c r="E414" s="38"/>
      <c r="F414" s="49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</row>
    <row r="415" spans="1:21">
      <c r="A415" s="38"/>
      <c r="B415" s="38"/>
      <c r="C415" s="38"/>
      <c r="D415" s="38"/>
      <c r="E415" s="38"/>
      <c r="F415" s="49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</row>
    <row r="416" spans="1:21">
      <c r="A416" s="38"/>
      <c r="B416" s="38"/>
      <c r="C416" s="38"/>
      <c r="D416" s="38"/>
      <c r="E416" s="38"/>
      <c r="F416" s="49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</row>
    <row r="417" spans="1:21">
      <c r="A417" s="38"/>
      <c r="B417" s="38"/>
      <c r="C417" s="38"/>
      <c r="D417" s="38"/>
      <c r="E417" s="38"/>
      <c r="F417" s="49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</row>
    <row r="418" spans="1:21">
      <c r="A418" s="38"/>
      <c r="B418" s="38"/>
      <c r="C418" s="38"/>
      <c r="D418" s="38"/>
      <c r="E418" s="38"/>
      <c r="F418" s="49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</row>
    <row r="419" spans="1:21">
      <c r="A419" s="38"/>
      <c r="B419" s="38"/>
      <c r="C419" s="38"/>
      <c r="D419" s="38"/>
      <c r="E419" s="38"/>
      <c r="F419" s="49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</row>
    <row r="420" spans="1:21">
      <c r="A420" s="38"/>
      <c r="B420" s="38"/>
      <c r="C420" s="38"/>
      <c r="D420" s="38"/>
      <c r="E420" s="38"/>
      <c r="F420" s="49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</row>
    <row r="421" spans="1:21">
      <c r="A421" s="38"/>
      <c r="B421" s="38"/>
      <c r="C421" s="38"/>
      <c r="D421" s="38"/>
      <c r="E421" s="38"/>
      <c r="F421" s="49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</row>
    <row r="422" spans="1:21">
      <c r="A422" s="38"/>
      <c r="B422" s="38"/>
      <c r="C422" s="38"/>
      <c r="D422" s="38"/>
      <c r="E422" s="38"/>
      <c r="F422" s="49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</row>
    <row r="423" spans="1:21">
      <c r="A423" s="38"/>
      <c r="B423" s="38"/>
      <c r="C423" s="38"/>
      <c r="D423" s="38"/>
      <c r="E423" s="38"/>
      <c r="F423" s="49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</row>
    <row r="424" spans="1:21">
      <c r="A424" s="38"/>
      <c r="B424" s="38"/>
      <c r="C424" s="38"/>
      <c r="D424" s="38"/>
      <c r="E424" s="38"/>
      <c r="F424" s="49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</row>
    <row r="425" spans="1:21">
      <c r="A425" s="38"/>
      <c r="B425" s="38"/>
      <c r="C425" s="38"/>
      <c r="D425" s="38"/>
      <c r="E425" s="38"/>
      <c r="F425" s="49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</row>
    <row r="426" spans="1:21">
      <c r="A426" s="38"/>
      <c r="B426" s="38"/>
      <c r="C426" s="38"/>
      <c r="D426" s="38"/>
      <c r="E426" s="38"/>
      <c r="F426" s="49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</row>
    <row r="427" spans="1:21">
      <c r="A427" s="38"/>
      <c r="B427" s="38"/>
      <c r="C427" s="38"/>
      <c r="D427" s="38"/>
      <c r="E427" s="38"/>
      <c r="F427" s="49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</row>
    <row r="428" spans="1:21">
      <c r="A428" s="38"/>
      <c r="B428" s="38"/>
      <c r="C428" s="38"/>
      <c r="D428" s="38"/>
      <c r="E428" s="38"/>
      <c r="F428" s="49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</row>
    <row r="429" spans="1:21">
      <c r="A429" s="38"/>
      <c r="B429" s="38"/>
      <c r="C429" s="38"/>
      <c r="D429" s="38"/>
      <c r="E429" s="38"/>
      <c r="F429" s="49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</row>
    <row r="430" spans="1:21">
      <c r="A430" s="38"/>
      <c r="B430" s="38"/>
      <c r="C430" s="38"/>
      <c r="D430" s="38"/>
      <c r="E430" s="38"/>
      <c r="F430" s="49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</row>
    <row r="431" spans="1:21">
      <c r="A431" s="38"/>
      <c r="B431" s="38"/>
      <c r="C431" s="38"/>
      <c r="D431" s="38"/>
      <c r="E431" s="38"/>
      <c r="F431" s="49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</row>
    <row r="432" spans="1:21">
      <c r="A432" s="38"/>
      <c r="B432" s="38"/>
      <c r="C432" s="38"/>
      <c r="D432" s="38"/>
      <c r="E432" s="38"/>
      <c r="F432" s="49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</row>
    <row r="433" spans="1:21">
      <c r="A433" s="38"/>
      <c r="B433" s="38"/>
      <c r="C433" s="38"/>
      <c r="D433" s="38"/>
      <c r="E433" s="38"/>
      <c r="F433" s="49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</row>
    <row r="434" spans="1:21">
      <c r="A434" s="38"/>
      <c r="B434" s="38"/>
      <c r="C434" s="38"/>
      <c r="D434" s="38"/>
      <c r="E434" s="38"/>
      <c r="F434" s="49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</row>
    <row r="435" spans="1:21">
      <c r="A435" s="38"/>
      <c r="B435" s="38"/>
      <c r="C435" s="38"/>
      <c r="D435" s="38"/>
      <c r="E435" s="38"/>
      <c r="F435" s="49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</row>
    <row r="436" spans="1:21">
      <c r="A436" s="38"/>
      <c r="B436" s="38"/>
      <c r="C436" s="38"/>
      <c r="D436" s="38"/>
      <c r="E436" s="38"/>
      <c r="F436" s="49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</row>
    <row r="437" spans="1:21">
      <c r="A437" s="38"/>
      <c r="B437" s="38"/>
      <c r="C437" s="38"/>
      <c r="D437" s="38"/>
      <c r="E437" s="38"/>
      <c r="F437" s="49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</row>
    <row r="438" spans="1:21">
      <c r="A438" s="38"/>
      <c r="B438" s="38"/>
      <c r="C438" s="38"/>
      <c r="D438" s="38"/>
      <c r="E438" s="38"/>
      <c r="F438" s="49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</row>
    <row r="439" spans="1:21">
      <c r="A439" s="38"/>
      <c r="B439" s="38"/>
      <c r="C439" s="38"/>
      <c r="D439" s="38"/>
      <c r="E439" s="38"/>
      <c r="F439" s="49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</row>
    <row r="440" spans="1:21">
      <c r="A440" s="38"/>
      <c r="B440" s="38"/>
      <c r="C440" s="38"/>
      <c r="D440" s="38"/>
      <c r="E440" s="38"/>
      <c r="F440" s="49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</row>
    <row r="441" spans="1:21">
      <c r="A441" s="38"/>
      <c r="B441" s="38"/>
      <c r="C441" s="38"/>
      <c r="D441" s="38"/>
      <c r="E441" s="38"/>
      <c r="F441" s="49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</row>
    <row r="442" spans="1:21">
      <c r="A442" s="38"/>
      <c r="B442" s="38"/>
      <c r="C442" s="38"/>
      <c r="D442" s="38"/>
      <c r="E442" s="38"/>
      <c r="F442" s="49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</row>
    <row r="443" spans="1:21">
      <c r="A443" s="38"/>
      <c r="B443" s="38"/>
      <c r="C443" s="38"/>
      <c r="D443" s="38"/>
      <c r="E443" s="38"/>
      <c r="F443" s="49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</row>
    <row r="444" spans="1:21">
      <c r="A444" s="38"/>
      <c r="B444" s="38"/>
      <c r="C444" s="38"/>
      <c r="D444" s="38"/>
      <c r="E444" s="38"/>
      <c r="F444" s="49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</row>
    <row r="445" spans="1:21">
      <c r="A445" s="38"/>
      <c r="B445" s="38"/>
      <c r="C445" s="38"/>
      <c r="D445" s="38"/>
      <c r="E445" s="38"/>
      <c r="F445" s="49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</row>
    <row r="446" spans="1:21">
      <c r="A446" s="38"/>
      <c r="B446" s="38"/>
      <c r="C446" s="38"/>
      <c r="D446" s="38"/>
      <c r="E446" s="38"/>
      <c r="F446" s="49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</row>
    <row r="447" spans="1:21">
      <c r="A447" s="38"/>
      <c r="B447" s="38"/>
      <c r="C447" s="38"/>
      <c r="D447" s="38"/>
      <c r="E447" s="38"/>
      <c r="F447" s="49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</row>
    <row r="448" spans="1:21">
      <c r="A448" s="38"/>
      <c r="B448" s="38"/>
      <c r="C448" s="38"/>
      <c r="D448" s="38"/>
      <c r="E448" s="38"/>
      <c r="F448" s="49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</row>
    <row r="449" spans="1:21">
      <c r="A449" s="38"/>
      <c r="B449" s="38"/>
      <c r="C449" s="38"/>
      <c r="D449" s="38"/>
      <c r="E449" s="38"/>
      <c r="F449" s="49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</row>
    <row r="450" spans="1:21">
      <c r="A450" s="38"/>
      <c r="B450" s="38"/>
      <c r="C450" s="38"/>
      <c r="D450" s="38"/>
      <c r="E450" s="38"/>
      <c r="F450" s="49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</row>
    <row r="451" spans="1:21">
      <c r="A451" s="38"/>
      <c r="B451" s="38"/>
      <c r="C451" s="38"/>
      <c r="D451" s="38"/>
      <c r="E451" s="38"/>
      <c r="F451" s="49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</row>
    <row r="452" spans="1:21">
      <c r="A452" s="38"/>
      <c r="B452" s="38"/>
      <c r="C452" s="38"/>
      <c r="D452" s="38"/>
      <c r="E452" s="38"/>
      <c r="F452" s="49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</row>
    <row r="453" spans="1:21">
      <c r="A453" s="38"/>
      <c r="B453" s="38"/>
      <c r="C453" s="38"/>
      <c r="D453" s="38"/>
      <c r="E453" s="38"/>
      <c r="F453" s="49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</row>
    <row r="454" spans="1:21">
      <c r="A454" s="38"/>
      <c r="B454" s="38"/>
      <c r="C454" s="38"/>
      <c r="D454" s="38"/>
      <c r="E454" s="38"/>
      <c r="F454" s="49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</row>
    <row r="455" spans="1:21">
      <c r="A455" s="38"/>
      <c r="B455" s="38"/>
      <c r="C455" s="38"/>
      <c r="D455" s="38"/>
      <c r="E455" s="38"/>
      <c r="F455" s="49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</row>
    <row r="456" spans="1:21">
      <c r="A456" s="38"/>
      <c r="B456" s="38"/>
      <c r="C456" s="38"/>
      <c r="D456" s="38"/>
      <c r="E456" s="38"/>
      <c r="F456" s="49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</row>
    <row r="457" spans="1:21">
      <c r="A457" s="38"/>
      <c r="B457" s="38"/>
      <c r="C457" s="38"/>
      <c r="D457" s="38"/>
      <c r="E457" s="38"/>
      <c r="F457" s="49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</row>
    <row r="458" spans="1:21">
      <c r="A458" s="38"/>
      <c r="B458" s="38"/>
      <c r="C458" s="38"/>
      <c r="D458" s="38"/>
      <c r="E458" s="38"/>
      <c r="F458" s="49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</row>
    <row r="459" spans="1:21">
      <c r="A459" s="38"/>
      <c r="B459" s="38"/>
      <c r="C459" s="38"/>
      <c r="D459" s="38"/>
      <c r="E459" s="38"/>
      <c r="F459" s="49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</row>
    <row r="460" spans="1:21">
      <c r="A460" s="38"/>
      <c r="B460" s="38"/>
      <c r="C460" s="38"/>
      <c r="D460" s="38"/>
      <c r="E460" s="38"/>
      <c r="F460" s="49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</row>
    <row r="461" spans="1:21">
      <c r="A461" s="38"/>
      <c r="B461" s="38"/>
      <c r="C461" s="38"/>
      <c r="D461" s="38"/>
      <c r="E461" s="38"/>
      <c r="F461" s="49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</row>
    <row r="462" spans="1:21">
      <c r="A462" s="38"/>
      <c r="B462" s="38"/>
      <c r="C462" s="38"/>
      <c r="D462" s="38"/>
      <c r="E462" s="38"/>
      <c r="F462" s="49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</row>
    <row r="463" spans="1:21">
      <c r="A463" s="38"/>
      <c r="B463" s="38"/>
      <c r="C463" s="38"/>
      <c r="D463" s="38"/>
      <c r="E463" s="38"/>
      <c r="F463" s="49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</row>
    <row r="464" spans="1:21">
      <c r="A464" s="38"/>
      <c r="B464" s="38"/>
      <c r="C464" s="38"/>
      <c r="D464" s="38"/>
      <c r="E464" s="38"/>
      <c r="F464" s="49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</row>
    <row r="465" spans="1:21">
      <c r="A465" s="38"/>
      <c r="B465" s="38"/>
      <c r="C465" s="38"/>
      <c r="D465" s="38"/>
      <c r="E465" s="38"/>
      <c r="F465" s="49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</row>
    <row r="466" spans="1:21">
      <c r="A466" s="38"/>
      <c r="B466" s="38"/>
      <c r="C466" s="38"/>
      <c r="D466" s="38"/>
      <c r="E466" s="38"/>
      <c r="F466" s="49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</row>
    <row r="467" spans="1:21">
      <c r="A467" s="38"/>
      <c r="B467" s="38"/>
      <c r="C467" s="38"/>
      <c r="D467" s="38"/>
      <c r="E467" s="38"/>
      <c r="F467" s="49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</row>
    <row r="468" spans="1:21">
      <c r="A468" s="38"/>
      <c r="B468" s="38"/>
      <c r="C468" s="38"/>
      <c r="D468" s="38"/>
      <c r="E468" s="38"/>
      <c r="F468" s="49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</row>
    <row r="469" spans="1:21">
      <c r="A469" s="38"/>
      <c r="B469" s="38"/>
      <c r="C469" s="38"/>
      <c r="D469" s="38"/>
      <c r="E469" s="38"/>
      <c r="F469" s="49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</row>
    <row r="470" spans="1:21">
      <c r="A470" s="38"/>
      <c r="B470" s="38"/>
      <c r="C470" s="38"/>
      <c r="D470" s="38"/>
      <c r="E470" s="38"/>
      <c r="F470" s="49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</row>
    <row r="471" spans="1:21">
      <c r="A471" s="38"/>
      <c r="B471" s="38"/>
      <c r="C471" s="38"/>
      <c r="D471" s="38"/>
      <c r="E471" s="38"/>
      <c r="F471" s="49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</row>
    <row r="472" spans="1:21">
      <c r="A472" s="38"/>
      <c r="B472" s="38"/>
      <c r="C472" s="38"/>
      <c r="D472" s="38"/>
      <c r="E472" s="38"/>
      <c r="F472" s="49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</row>
    <row r="473" spans="1:21">
      <c r="A473" s="38"/>
      <c r="B473" s="38"/>
      <c r="C473" s="38"/>
      <c r="D473" s="38"/>
      <c r="E473" s="38"/>
      <c r="F473" s="49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</row>
    <row r="474" spans="1:21">
      <c r="A474" s="38"/>
      <c r="B474" s="38"/>
      <c r="C474" s="38"/>
      <c r="D474" s="38"/>
      <c r="E474" s="38"/>
      <c r="F474" s="49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</row>
    <row r="475" spans="1:21">
      <c r="A475" s="38"/>
      <c r="B475" s="38"/>
      <c r="C475" s="38"/>
      <c r="D475" s="38"/>
      <c r="E475" s="38"/>
      <c r="F475" s="49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</row>
    <row r="476" spans="1:21">
      <c r="A476" s="38"/>
      <c r="B476" s="38"/>
      <c r="C476" s="38"/>
      <c r="D476" s="38"/>
      <c r="E476" s="38"/>
      <c r="F476" s="49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</row>
    <row r="477" spans="1:21">
      <c r="A477" s="38"/>
      <c r="B477" s="38"/>
      <c r="C477" s="38"/>
      <c r="D477" s="38"/>
      <c r="E477" s="38"/>
      <c r="F477" s="49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</row>
    <row r="478" spans="1:21">
      <c r="A478" s="38"/>
      <c r="B478" s="38"/>
      <c r="C478" s="38"/>
      <c r="D478" s="38"/>
      <c r="E478" s="38"/>
      <c r="F478" s="49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</row>
    <row r="479" spans="1:21">
      <c r="A479" s="38"/>
      <c r="B479" s="38"/>
      <c r="C479" s="38"/>
      <c r="D479" s="38"/>
      <c r="E479" s="38"/>
      <c r="F479" s="49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</row>
    <row r="480" spans="1:21">
      <c r="A480" s="38"/>
      <c r="B480" s="38"/>
      <c r="C480" s="38"/>
      <c r="D480" s="38"/>
      <c r="E480" s="38"/>
      <c r="F480" s="49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</row>
    <row r="481" spans="1:21">
      <c r="A481" s="38"/>
      <c r="B481" s="38"/>
      <c r="C481" s="38"/>
      <c r="D481" s="38"/>
      <c r="E481" s="38"/>
      <c r="F481" s="49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</row>
    <row r="482" spans="1:21">
      <c r="A482" s="38"/>
      <c r="B482" s="38"/>
      <c r="C482" s="38"/>
      <c r="D482" s="38"/>
      <c r="E482" s="38"/>
      <c r="F482" s="49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</row>
    <row r="483" spans="1:21">
      <c r="A483" s="38"/>
      <c r="B483" s="38"/>
      <c r="C483" s="38"/>
      <c r="D483" s="38"/>
      <c r="E483" s="38"/>
      <c r="F483" s="49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</row>
    <row r="484" spans="1:21">
      <c r="A484" s="38"/>
      <c r="B484" s="38"/>
      <c r="C484" s="38"/>
      <c r="D484" s="38"/>
      <c r="E484" s="38"/>
      <c r="F484" s="49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</row>
    <row r="485" spans="1:21">
      <c r="A485" s="38"/>
      <c r="B485" s="38"/>
      <c r="C485" s="38"/>
      <c r="D485" s="38"/>
      <c r="E485" s="38"/>
      <c r="F485" s="49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</row>
    <row r="486" spans="1:21">
      <c r="A486" s="38"/>
      <c r="B486" s="38"/>
      <c r="C486" s="38"/>
      <c r="D486" s="38"/>
      <c r="E486" s="38"/>
      <c r="F486" s="49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</row>
    <row r="487" spans="1:21">
      <c r="A487" s="38"/>
      <c r="B487" s="38"/>
      <c r="C487" s="38"/>
      <c r="D487" s="38"/>
      <c r="E487" s="38"/>
      <c r="F487" s="49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</row>
    <row r="488" spans="1:21">
      <c r="A488" s="38"/>
      <c r="B488" s="38"/>
      <c r="C488" s="38"/>
      <c r="D488" s="38"/>
      <c r="E488" s="38"/>
      <c r="F488" s="49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</row>
    <row r="489" spans="1:21">
      <c r="A489" s="38"/>
      <c r="B489" s="38"/>
      <c r="C489" s="38"/>
      <c r="D489" s="38"/>
      <c r="E489" s="38"/>
      <c r="F489" s="49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</row>
    <row r="490" spans="1:21">
      <c r="A490" s="38"/>
      <c r="B490" s="38"/>
      <c r="C490" s="38"/>
      <c r="D490" s="38"/>
      <c r="E490" s="38"/>
      <c r="F490" s="49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</row>
    <row r="491" spans="1:21">
      <c r="A491" s="38"/>
      <c r="B491" s="38"/>
      <c r="C491" s="38"/>
      <c r="D491" s="38"/>
      <c r="E491" s="38"/>
      <c r="F491" s="49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</row>
    <row r="492" spans="1:21">
      <c r="A492" s="38"/>
      <c r="B492" s="38"/>
      <c r="C492" s="38"/>
      <c r="D492" s="38"/>
      <c r="E492" s="38"/>
      <c r="F492" s="49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</row>
    <row r="493" spans="1:21">
      <c r="A493" s="38"/>
      <c r="B493" s="38"/>
      <c r="C493" s="38"/>
      <c r="D493" s="38"/>
      <c r="E493" s="38"/>
      <c r="F493" s="49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</row>
    <row r="494" spans="1:21">
      <c r="A494" s="38"/>
      <c r="B494" s="38"/>
      <c r="C494" s="38"/>
      <c r="D494" s="38"/>
      <c r="E494" s="38"/>
      <c r="F494" s="49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</row>
    <row r="495" spans="1:21">
      <c r="A495" s="38"/>
      <c r="B495" s="38"/>
      <c r="C495" s="38"/>
      <c r="D495" s="38"/>
      <c r="E495" s="38"/>
      <c r="F495" s="49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</row>
    <row r="496" spans="1:21">
      <c r="A496" s="38"/>
      <c r="B496" s="38"/>
      <c r="C496" s="38"/>
      <c r="D496" s="38"/>
      <c r="E496" s="38"/>
      <c r="F496" s="49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</row>
    <row r="497" spans="1:21">
      <c r="A497" s="38"/>
      <c r="B497" s="38"/>
      <c r="C497" s="38"/>
      <c r="D497" s="38"/>
      <c r="E497" s="38"/>
      <c r="F497" s="49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</row>
    <row r="498" spans="1:21">
      <c r="A498" s="38"/>
      <c r="B498" s="38"/>
      <c r="C498" s="38"/>
      <c r="D498" s="38"/>
      <c r="E498" s="38"/>
      <c r="F498" s="49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</row>
    <row r="499" spans="1:21">
      <c r="A499" s="38"/>
      <c r="B499" s="38"/>
      <c r="C499" s="38"/>
      <c r="D499" s="38"/>
      <c r="E499" s="38"/>
      <c r="F499" s="49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</row>
    <row r="500" spans="1:21">
      <c r="A500" s="38"/>
      <c r="B500" s="38"/>
      <c r="C500" s="38"/>
      <c r="D500" s="38"/>
      <c r="E500" s="38"/>
      <c r="F500" s="49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</row>
    <row r="501" spans="1:21">
      <c r="A501" s="38"/>
      <c r="B501" s="38"/>
      <c r="C501" s="38"/>
      <c r="D501" s="38"/>
      <c r="E501" s="38"/>
      <c r="F501" s="49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</row>
    <row r="502" spans="1:21">
      <c r="A502" s="38"/>
      <c r="B502" s="38"/>
      <c r="C502" s="38"/>
      <c r="D502" s="38"/>
      <c r="E502" s="38"/>
      <c r="F502" s="49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</row>
    <row r="503" spans="1:21">
      <c r="A503" s="38"/>
      <c r="B503" s="38"/>
      <c r="C503" s="38"/>
      <c r="D503" s="38"/>
      <c r="E503" s="38"/>
      <c r="F503" s="49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</row>
    <row r="504" spans="1:21">
      <c r="A504" s="38"/>
      <c r="B504" s="38"/>
      <c r="C504" s="38"/>
      <c r="D504" s="38"/>
      <c r="E504" s="38"/>
      <c r="F504" s="49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</row>
    <row r="505" spans="1:21">
      <c r="A505" s="38"/>
      <c r="B505" s="38"/>
      <c r="C505" s="38"/>
      <c r="D505" s="38"/>
      <c r="E505" s="38"/>
      <c r="F505" s="49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</row>
    <row r="506" spans="1:21">
      <c r="A506" s="38"/>
      <c r="B506" s="38"/>
      <c r="C506" s="38"/>
      <c r="D506" s="38"/>
      <c r="E506" s="38"/>
      <c r="F506" s="49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</row>
    <row r="507" spans="1:21">
      <c r="A507" s="38"/>
      <c r="B507" s="38"/>
      <c r="C507" s="38"/>
      <c r="D507" s="38"/>
      <c r="E507" s="38"/>
      <c r="F507" s="49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</row>
    <row r="508" spans="1:21">
      <c r="A508" s="38"/>
      <c r="B508" s="38"/>
      <c r="C508" s="38"/>
      <c r="D508" s="38"/>
      <c r="E508" s="38"/>
      <c r="F508" s="49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</row>
    <row r="509" spans="1:21">
      <c r="A509" s="38"/>
      <c r="B509" s="38"/>
      <c r="C509" s="38"/>
      <c r="D509" s="38"/>
      <c r="E509" s="38"/>
      <c r="F509" s="49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</row>
    <row r="510" spans="1:21">
      <c r="A510" s="38"/>
      <c r="B510" s="38"/>
      <c r="C510" s="38"/>
      <c r="D510" s="38"/>
      <c r="E510" s="38"/>
      <c r="F510" s="49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</row>
    <row r="511" spans="1:21">
      <c r="A511" s="38"/>
      <c r="B511" s="38"/>
      <c r="C511" s="38"/>
      <c r="D511" s="38"/>
      <c r="E511" s="38"/>
      <c r="F511" s="49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</row>
    <row r="512" spans="1:21">
      <c r="A512" s="38"/>
      <c r="B512" s="38"/>
      <c r="C512" s="38"/>
      <c r="D512" s="38"/>
      <c r="E512" s="38"/>
      <c r="F512" s="49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</row>
    <row r="513" spans="1:21">
      <c r="A513" s="38"/>
      <c r="B513" s="38"/>
      <c r="C513" s="38"/>
      <c r="D513" s="38"/>
      <c r="E513" s="38"/>
      <c r="F513" s="49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</row>
    <row r="514" spans="1:21">
      <c r="A514" s="38"/>
      <c r="B514" s="38"/>
      <c r="C514" s="38"/>
      <c r="D514" s="38"/>
      <c r="E514" s="38"/>
      <c r="F514" s="49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</row>
    <row r="515" spans="1:21">
      <c r="A515" s="38"/>
      <c r="B515" s="38"/>
      <c r="C515" s="38"/>
      <c r="D515" s="38"/>
      <c r="E515" s="38"/>
      <c r="F515" s="49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</row>
    <row r="516" spans="1:21">
      <c r="A516" s="38"/>
      <c r="B516" s="38"/>
      <c r="C516" s="38"/>
      <c r="D516" s="38"/>
      <c r="E516" s="38"/>
      <c r="F516" s="49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</row>
    <row r="517" spans="1:21">
      <c r="A517" s="38"/>
      <c r="B517" s="38"/>
      <c r="C517" s="38"/>
      <c r="D517" s="38"/>
      <c r="E517" s="38"/>
      <c r="F517" s="49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</row>
    <row r="518" spans="1:21">
      <c r="A518" s="38"/>
      <c r="B518" s="38"/>
      <c r="C518" s="38"/>
      <c r="D518" s="38"/>
      <c r="E518" s="38"/>
      <c r="F518" s="49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</row>
    <row r="519" spans="1:21">
      <c r="A519" s="38"/>
      <c r="B519" s="38"/>
      <c r="C519" s="38"/>
      <c r="D519" s="38"/>
      <c r="E519" s="38"/>
      <c r="F519" s="49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</row>
    <row r="520" spans="1:21">
      <c r="A520" s="38"/>
      <c r="B520" s="38"/>
      <c r="C520" s="38"/>
      <c r="D520" s="38"/>
      <c r="E520" s="38"/>
      <c r="F520" s="49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</row>
    <row r="521" spans="1:21">
      <c r="A521" s="38"/>
      <c r="B521" s="38"/>
      <c r="C521" s="38"/>
      <c r="D521" s="38"/>
      <c r="E521" s="38"/>
      <c r="F521" s="49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</row>
    <row r="522" spans="1:21">
      <c r="A522" s="38"/>
      <c r="B522" s="38"/>
      <c r="C522" s="38"/>
      <c r="D522" s="38"/>
      <c r="E522" s="38"/>
      <c r="F522" s="49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</row>
    <row r="523" spans="1:21">
      <c r="A523" s="38"/>
      <c r="B523" s="38"/>
      <c r="C523" s="38"/>
      <c r="D523" s="38"/>
      <c r="E523" s="38"/>
      <c r="F523" s="49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</row>
    <row r="524" spans="1:21">
      <c r="A524" s="38"/>
      <c r="B524" s="38"/>
      <c r="C524" s="38"/>
      <c r="D524" s="38"/>
      <c r="E524" s="38"/>
      <c r="F524" s="49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</row>
    <row r="525" spans="1:21">
      <c r="A525" s="38"/>
      <c r="B525" s="38"/>
      <c r="C525" s="38"/>
      <c r="D525" s="38"/>
      <c r="E525" s="38"/>
      <c r="F525" s="49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</row>
    <row r="526" spans="1:21">
      <c r="A526" s="38"/>
      <c r="B526" s="38"/>
      <c r="C526" s="38"/>
      <c r="D526" s="38"/>
      <c r="E526" s="38"/>
      <c r="F526" s="49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</row>
    <row r="527" spans="1:21">
      <c r="A527" s="38"/>
      <c r="B527" s="38"/>
      <c r="C527" s="38"/>
      <c r="D527" s="38"/>
      <c r="E527" s="38"/>
      <c r="F527" s="49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</row>
    <row r="528" spans="1:21">
      <c r="A528" s="38"/>
      <c r="B528" s="38"/>
      <c r="C528" s="38"/>
      <c r="D528" s="38"/>
      <c r="E528" s="38"/>
      <c r="F528" s="49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</row>
    <row r="529" spans="1:21">
      <c r="A529" s="38"/>
      <c r="B529" s="38"/>
      <c r="C529" s="38"/>
      <c r="D529" s="38"/>
      <c r="E529" s="38"/>
      <c r="F529" s="49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</row>
    <row r="530" spans="1:21">
      <c r="A530" s="38"/>
      <c r="B530" s="38"/>
      <c r="C530" s="38"/>
      <c r="D530" s="38"/>
      <c r="E530" s="38"/>
      <c r="F530" s="49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</row>
    <row r="531" spans="1:21">
      <c r="A531" s="38"/>
      <c r="B531" s="38"/>
      <c r="C531" s="38"/>
      <c r="D531" s="38"/>
      <c r="E531" s="38"/>
      <c r="F531" s="49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</row>
    <row r="532" spans="1:21">
      <c r="A532" s="38"/>
      <c r="B532" s="38"/>
      <c r="C532" s="38"/>
      <c r="D532" s="38"/>
      <c r="E532" s="38"/>
      <c r="F532" s="49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</row>
    <row r="533" spans="1:21">
      <c r="A533" s="38"/>
      <c r="B533" s="38"/>
      <c r="C533" s="38"/>
      <c r="D533" s="38"/>
      <c r="E533" s="38"/>
      <c r="F533" s="49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</row>
    <row r="534" spans="1:21">
      <c r="A534" s="38"/>
      <c r="B534" s="38"/>
      <c r="C534" s="38"/>
      <c r="D534" s="38"/>
      <c r="E534" s="38"/>
      <c r="F534" s="49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</row>
    <row r="535" spans="1:21">
      <c r="A535" s="38"/>
      <c r="B535" s="38"/>
      <c r="C535" s="38"/>
      <c r="D535" s="38"/>
      <c r="E535" s="38"/>
      <c r="F535" s="49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</row>
    <row r="536" spans="1:21">
      <c r="A536" s="38"/>
      <c r="B536" s="38"/>
      <c r="C536" s="38"/>
      <c r="D536" s="38"/>
      <c r="E536" s="38"/>
      <c r="F536" s="49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</row>
    <row r="537" spans="1:21">
      <c r="A537" s="38"/>
      <c r="B537" s="38"/>
      <c r="C537" s="38"/>
      <c r="D537" s="38"/>
      <c r="E537" s="38"/>
      <c r="F537" s="49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</row>
    <row r="538" spans="1:21">
      <c r="A538" s="38"/>
      <c r="B538" s="38"/>
      <c r="C538" s="38"/>
      <c r="D538" s="38"/>
      <c r="E538" s="38"/>
      <c r="F538" s="49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</row>
    <row r="539" spans="1:21">
      <c r="A539" s="38"/>
      <c r="B539" s="38"/>
      <c r="C539" s="38"/>
      <c r="D539" s="38"/>
      <c r="E539" s="38"/>
      <c r="F539" s="49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</row>
    <row r="540" spans="1:21">
      <c r="A540" s="38"/>
      <c r="B540" s="38"/>
      <c r="C540" s="38"/>
      <c r="D540" s="38"/>
      <c r="E540" s="38"/>
      <c r="F540" s="49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</row>
    <row r="541" spans="1:21">
      <c r="A541" s="38"/>
      <c r="B541" s="38"/>
      <c r="C541" s="38"/>
      <c r="D541" s="38"/>
      <c r="E541" s="38"/>
      <c r="F541" s="49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</row>
    <row r="542" spans="1:21">
      <c r="A542" s="38"/>
      <c r="B542" s="38"/>
      <c r="C542" s="38"/>
      <c r="D542" s="38"/>
      <c r="E542" s="38"/>
      <c r="F542" s="49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</row>
    <row r="543" spans="1:21">
      <c r="A543" s="38"/>
      <c r="B543" s="38"/>
      <c r="C543" s="38"/>
      <c r="D543" s="38"/>
      <c r="E543" s="38"/>
      <c r="F543" s="49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</row>
    <row r="544" spans="1:21">
      <c r="A544" s="38"/>
      <c r="B544" s="38"/>
      <c r="C544" s="38"/>
      <c r="D544" s="38"/>
      <c r="E544" s="38"/>
      <c r="F544" s="49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</row>
    <row r="545" spans="1:21">
      <c r="A545" s="38"/>
      <c r="B545" s="38"/>
      <c r="C545" s="38"/>
      <c r="D545" s="38"/>
      <c r="E545" s="38"/>
      <c r="F545" s="49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</row>
    <row r="546" spans="1:21">
      <c r="A546" s="38"/>
      <c r="B546" s="38"/>
      <c r="C546" s="38"/>
      <c r="D546" s="38"/>
      <c r="E546" s="38"/>
      <c r="F546" s="49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</row>
    <row r="547" spans="1:21">
      <c r="A547" s="38"/>
      <c r="B547" s="38"/>
      <c r="C547" s="38"/>
      <c r="D547" s="38"/>
      <c r="E547" s="38"/>
      <c r="F547" s="49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</row>
    <row r="548" spans="1:21">
      <c r="A548" s="38"/>
      <c r="B548" s="38"/>
      <c r="C548" s="38"/>
      <c r="D548" s="38"/>
      <c r="E548" s="38"/>
      <c r="F548" s="49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</row>
    <row r="549" spans="1:21">
      <c r="A549" s="38"/>
      <c r="B549" s="38"/>
      <c r="C549" s="38"/>
      <c r="D549" s="38"/>
      <c r="E549" s="38"/>
      <c r="F549" s="49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</row>
    <row r="550" spans="1:21">
      <c r="A550" s="38"/>
      <c r="B550" s="38"/>
      <c r="C550" s="38"/>
      <c r="D550" s="38"/>
      <c r="E550" s="38"/>
      <c r="F550" s="49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</row>
    <row r="551" spans="1:21">
      <c r="A551" s="38"/>
      <c r="B551" s="38"/>
      <c r="C551" s="38"/>
      <c r="D551" s="38"/>
      <c r="E551" s="38"/>
      <c r="F551" s="49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</row>
    <row r="552" spans="1:21">
      <c r="A552" s="38"/>
      <c r="B552" s="38"/>
      <c r="C552" s="38"/>
      <c r="D552" s="38"/>
      <c r="E552" s="38"/>
      <c r="F552" s="49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</row>
    <row r="553" spans="1:21">
      <c r="A553" s="38"/>
      <c r="B553" s="38"/>
      <c r="C553" s="38"/>
      <c r="D553" s="38"/>
      <c r="E553" s="38"/>
      <c r="F553" s="49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</row>
    <row r="554" spans="1:21">
      <c r="A554" s="38"/>
      <c r="B554" s="38"/>
      <c r="C554" s="38"/>
      <c r="D554" s="38"/>
      <c r="E554" s="38"/>
      <c r="F554" s="49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</row>
    <row r="555" spans="1:21">
      <c r="A555" s="38"/>
      <c r="B555" s="38"/>
      <c r="C555" s="38"/>
      <c r="D555" s="38"/>
      <c r="E555" s="38"/>
      <c r="F555" s="49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</row>
    <row r="556" spans="1:21">
      <c r="A556" s="38"/>
      <c r="B556" s="38"/>
      <c r="C556" s="38"/>
      <c r="D556" s="38"/>
      <c r="E556" s="38"/>
      <c r="F556" s="49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</row>
    <row r="557" spans="1:21">
      <c r="A557" s="38"/>
      <c r="B557" s="38"/>
      <c r="C557" s="38"/>
      <c r="D557" s="38"/>
      <c r="E557" s="38"/>
      <c r="F557" s="49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</row>
    <row r="558" spans="1:21">
      <c r="A558" s="38"/>
      <c r="B558" s="38"/>
      <c r="C558" s="38"/>
      <c r="D558" s="38"/>
      <c r="E558" s="38"/>
      <c r="F558" s="49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</row>
    <row r="559" spans="1:21">
      <c r="A559" s="38"/>
      <c r="B559" s="38"/>
      <c r="C559" s="38"/>
      <c r="D559" s="38"/>
      <c r="E559" s="38"/>
      <c r="F559" s="49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</row>
    <row r="560" spans="1:21">
      <c r="A560" s="38"/>
      <c r="B560" s="38"/>
      <c r="C560" s="38"/>
      <c r="D560" s="38"/>
      <c r="E560" s="38"/>
      <c r="F560" s="49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</row>
    <row r="561" spans="1:21">
      <c r="A561" s="38"/>
      <c r="B561" s="38"/>
      <c r="C561" s="38"/>
      <c r="D561" s="38"/>
      <c r="E561" s="38"/>
      <c r="F561" s="49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</row>
    <row r="562" spans="1:21">
      <c r="A562" s="38"/>
      <c r="B562" s="38"/>
      <c r="C562" s="38"/>
      <c r="D562" s="38"/>
      <c r="E562" s="38"/>
      <c r="F562" s="49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</row>
    <row r="563" spans="1:21">
      <c r="A563" s="38"/>
      <c r="B563" s="38"/>
      <c r="C563" s="38"/>
      <c r="D563" s="38"/>
      <c r="E563" s="38"/>
      <c r="F563" s="49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</row>
    <row r="564" spans="1:21">
      <c r="A564" s="38"/>
      <c r="B564" s="38"/>
      <c r="C564" s="38"/>
      <c r="D564" s="38"/>
      <c r="E564" s="38"/>
      <c r="F564" s="49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</row>
    <row r="565" spans="1:21">
      <c r="A565" s="38"/>
      <c r="B565" s="38"/>
      <c r="C565" s="38"/>
      <c r="D565" s="38"/>
      <c r="E565" s="38"/>
      <c r="F565" s="49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</row>
    <row r="566" spans="1:21">
      <c r="A566" s="38"/>
      <c r="B566" s="38"/>
      <c r="C566" s="38"/>
      <c r="D566" s="38"/>
      <c r="E566" s="38"/>
      <c r="F566" s="49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</row>
    <row r="567" spans="1:21">
      <c r="A567" s="38"/>
      <c r="B567" s="38"/>
      <c r="C567" s="38"/>
      <c r="D567" s="38"/>
      <c r="E567" s="38"/>
      <c r="F567" s="49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</row>
    <row r="568" spans="1:21">
      <c r="A568" s="38"/>
      <c r="B568" s="38"/>
      <c r="C568" s="38"/>
      <c r="D568" s="38"/>
      <c r="E568" s="38"/>
      <c r="F568" s="49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</row>
    <row r="569" spans="1:21">
      <c r="A569" s="38"/>
      <c r="B569" s="38"/>
      <c r="C569" s="38"/>
      <c r="D569" s="38"/>
      <c r="E569" s="38"/>
      <c r="F569" s="49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</row>
    <row r="570" spans="1:21">
      <c r="A570" s="38"/>
      <c r="B570" s="38"/>
      <c r="C570" s="38"/>
      <c r="D570" s="38"/>
      <c r="E570" s="38"/>
      <c r="F570" s="49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</row>
    <row r="571" spans="1:21">
      <c r="A571" s="38"/>
      <c r="B571" s="38"/>
      <c r="C571" s="38"/>
      <c r="D571" s="38"/>
      <c r="E571" s="38"/>
      <c r="F571" s="49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</row>
    <row r="572" spans="1:21">
      <c r="A572" s="38"/>
      <c r="B572" s="38"/>
      <c r="C572" s="38"/>
      <c r="D572" s="38"/>
      <c r="E572" s="38"/>
      <c r="F572" s="49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</row>
    <row r="573" spans="1:21">
      <c r="A573" s="38"/>
      <c r="B573" s="38"/>
      <c r="C573" s="38"/>
      <c r="D573" s="38"/>
      <c r="E573" s="38"/>
      <c r="F573" s="49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</row>
    <row r="574" spans="1:21">
      <c r="A574" s="38"/>
      <c r="B574" s="38"/>
      <c r="C574" s="38"/>
      <c r="D574" s="38"/>
      <c r="E574" s="38"/>
      <c r="F574" s="49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</row>
    <row r="575" spans="1:21">
      <c r="A575" s="38"/>
      <c r="B575" s="38"/>
      <c r="C575" s="38"/>
      <c r="D575" s="38"/>
      <c r="E575" s="38"/>
      <c r="F575" s="49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</row>
    <row r="576" spans="1:21">
      <c r="A576" s="38"/>
      <c r="B576" s="38"/>
      <c r="C576" s="38"/>
      <c r="D576" s="38"/>
      <c r="E576" s="38"/>
      <c r="F576" s="49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</row>
    <row r="577" spans="1:21">
      <c r="A577" s="38"/>
      <c r="B577" s="38"/>
      <c r="C577" s="38"/>
      <c r="D577" s="38"/>
      <c r="E577" s="38"/>
      <c r="F577" s="49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</row>
    <row r="578" spans="1:21">
      <c r="A578" s="38"/>
      <c r="B578" s="38"/>
      <c r="C578" s="38"/>
      <c r="D578" s="38"/>
      <c r="E578" s="38"/>
      <c r="F578" s="49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</row>
    <row r="579" spans="1:21">
      <c r="A579" s="38"/>
      <c r="B579" s="38"/>
      <c r="C579" s="38"/>
      <c r="D579" s="38"/>
      <c r="E579" s="38"/>
      <c r="F579" s="49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</row>
    <row r="580" spans="1:21">
      <c r="A580" s="38"/>
      <c r="B580" s="38"/>
      <c r="C580" s="38"/>
      <c r="D580" s="38"/>
      <c r="E580" s="38"/>
      <c r="F580" s="49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</row>
    <row r="581" spans="1:21">
      <c r="A581" s="38"/>
      <c r="B581" s="38"/>
      <c r="C581" s="38"/>
      <c r="D581" s="38"/>
      <c r="E581" s="38"/>
      <c r="F581" s="49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</row>
    <row r="582" spans="1:21">
      <c r="A582" s="38"/>
      <c r="B582" s="38"/>
      <c r="C582" s="38"/>
      <c r="D582" s="38"/>
      <c r="E582" s="38"/>
      <c r="F582" s="49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</row>
    <row r="583" spans="1:21">
      <c r="A583" s="38"/>
      <c r="B583" s="38"/>
      <c r="C583" s="38"/>
      <c r="D583" s="38"/>
      <c r="E583" s="38"/>
      <c r="F583" s="49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</row>
    <row r="584" spans="1:21">
      <c r="A584" s="38"/>
      <c r="B584" s="38"/>
      <c r="C584" s="38"/>
      <c r="D584" s="38"/>
      <c r="E584" s="38"/>
      <c r="F584" s="49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</row>
    <row r="585" spans="1:21">
      <c r="A585" s="38"/>
      <c r="B585" s="38"/>
      <c r="C585" s="38"/>
      <c r="D585" s="38"/>
      <c r="E585" s="38"/>
      <c r="F585" s="49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</row>
    <row r="586" spans="1:21">
      <c r="A586" s="38"/>
      <c r="B586" s="38"/>
      <c r="C586" s="38"/>
      <c r="D586" s="38"/>
      <c r="E586" s="38"/>
      <c r="F586" s="49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</row>
    <row r="587" spans="1:21">
      <c r="A587" s="38"/>
      <c r="B587" s="38"/>
      <c r="C587" s="38"/>
      <c r="D587" s="38"/>
      <c r="E587" s="38"/>
      <c r="F587" s="49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</row>
    <row r="588" spans="1:21">
      <c r="A588" s="38"/>
      <c r="B588" s="38"/>
      <c r="C588" s="38"/>
      <c r="D588" s="38"/>
      <c r="E588" s="38"/>
      <c r="F588" s="49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</row>
    <row r="589" spans="1:21">
      <c r="A589" s="38"/>
      <c r="B589" s="38"/>
      <c r="C589" s="38"/>
      <c r="D589" s="38"/>
      <c r="E589" s="38"/>
      <c r="F589" s="49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</row>
    <row r="590" spans="1:21">
      <c r="A590" s="38"/>
      <c r="B590" s="38"/>
      <c r="C590" s="38"/>
      <c r="D590" s="38"/>
      <c r="E590" s="38"/>
      <c r="F590" s="49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</row>
    <row r="591" spans="1:21">
      <c r="A591" s="38"/>
      <c r="B591" s="38"/>
      <c r="C591" s="38"/>
      <c r="D591" s="38"/>
      <c r="E591" s="38"/>
      <c r="F591" s="49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</row>
    <row r="592" spans="1:21">
      <c r="A592" s="38"/>
      <c r="B592" s="38"/>
      <c r="C592" s="38"/>
      <c r="D592" s="38"/>
      <c r="E592" s="38"/>
      <c r="F592" s="49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</row>
    <row r="593" spans="1:21">
      <c r="A593" s="38"/>
      <c r="B593" s="38"/>
      <c r="C593" s="38"/>
      <c r="D593" s="38"/>
      <c r="E593" s="38"/>
      <c r="F593" s="49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</row>
    <row r="594" spans="1:21">
      <c r="A594" s="38"/>
      <c r="B594" s="38"/>
      <c r="C594" s="38"/>
      <c r="D594" s="38"/>
      <c r="E594" s="38"/>
      <c r="F594" s="49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</row>
    <row r="595" spans="1:21">
      <c r="A595" s="38"/>
      <c r="B595" s="38"/>
      <c r="C595" s="38"/>
      <c r="D595" s="38"/>
      <c r="E595" s="38"/>
      <c r="F595" s="49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</row>
    <row r="596" spans="1:21">
      <c r="A596" s="38"/>
      <c r="B596" s="38"/>
      <c r="C596" s="38"/>
      <c r="D596" s="38"/>
      <c r="E596" s="38"/>
      <c r="F596" s="49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</row>
    <row r="597" spans="1:21">
      <c r="A597" s="38"/>
      <c r="B597" s="38"/>
      <c r="C597" s="38"/>
      <c r="D597" s="38"/>
      <c r="E597" s="38"/>
      <c r="F597" s="49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</row>
    <row r="598" spans="1:21">
      <c r="A598" s="38"/>
      <c r="B598" s="38"/>
      <c r="C598" s="38"/>
      <c r="D598" s="38"/>
      <c r="E598" s="38"/>
      <c r="F598" s="49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</row>
    <row r="599" spans="1:21">
      <c r="A599" s="38"/>
      <c r="B599" s="38"/>
      <c r="C599" s="38"/>
      <c r="D599" s="38"/>
      <c r="E599" s="38"/>
      <c r="F599" s="49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</row>
    <row r="600" spans="1:21">
      <c r="A600" s="38"/>
      <c r="B600" s="38"/>
      <c r="C600" s="38"/>
      <c r="D600" s="38"/>
      <c r="E600" s="38"/>
      <c r="F600" s="49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</row>
    <row r="601" spans="1:21">
      <c r="A601" s="38"/>
      <c r="B601" s="38"/>
      <c r="C601" s="38"/>
      <c r="D601" s="38"/>
      <c r="E601" s="38"/>
      <c r="F601" s="49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</row>
    <row r="602" spans="1:21">
      <c r="A602" s="38"/>
      <c r="B602" s="38"/>
      <c r="C602" s="38"/>
      <c r="D602" s="38"/>
      <c r="E602" s="38"/>
      <c r="F602" s="49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</row>
    <row r="603" spans="1:21">
      <c r="A603" s="38"/>
      <c r="B603" s="38"/>
      <c r="C603" s="38"/>
      <c r="D603" s="38"/>
      <c r="E603" s="38"/>
      <c r="F603" s="49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</row>
    <row r="604" spans="1:21">
      <c r="A604" s="38"/>
      <c r="B604" s="38"/>
      <c r="C604" s="38"/>
      <c r="D604" s="38"/>
      <c r="E604" s="38"/>
      <c r="F604" s="49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</row>
    <row r="605" spans="1:21">
      <c r="A605" s="38"/>
      <c r="B605" s="38"/>
      <c r="C605" s="38"/>
      <c r="D605" s="38"/>
      <c r="E605" s="38"/>
      <c r="F605" s="49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</row>
    <row r="606" spans="1:21">
      <c r="A606" s="38"/>
      <c r="B606" s="38"/>
      <c r="C606" s="38"/>
      <c r="D606" s="38"/>
      <c r="E606" s="38"/>
      <c r="F606" s="49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</row>
    <row r="607" spans="1:21">
      <c r="A607" s="38"/>
      <c r="B607" s="38"/>
      <c r="C607" s="38"/>
      <c r="D607" s="38"/>
      <c r="E607" s="38"/>
      <c r="F607" s="49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</row>
    <row r="608" spans="1:21">
      <c r="A608" s="38"/>
      <c r="B608" s="38"/>
      <c r="C608" s="38"/>
      <c r="D608" s="38"/>
      <c r="E608" s="38"/>
      <c r="F608" s="49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</row>
    <row r="609" spans="1:21">
      <c r="A609" s="38"/>
      <c r="B609" s="38"/>
      <c r="C609" s="38"/>
      <c r="D609" s="38"/>
      <c r="E609" s="38"/>
      <c r="F609" s="49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</row>
    <row r="610" spans="1:21">
      <c r="A610" s="38"/>
      <c r="B610" s="38"/>
      <c r="C610" s="38"/>
      <c r="D610" s="38"/>
      <c r="E610" s="38"/>
      <c r="F610" s="49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</row>
    <row r="611" spans="1:21">
      <c r="A611" s="38"/>
      <c r="B611" s="38"/>
      <c r="C611" s="38"/>
      <c r="D611" s="38"/>
      <c r="E611" s="38"/>
      <c r="F611" s="49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</row>
    <row r="612" spans="1:21">
      <c r="A612" s="38"/>
      <c r="B612" s="38"/>
      <c r="C612" s="38"/>
      <c r="D612" s="38"/>
      <c r="E612" s="38"/>
      <c r="F612" s="49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</row>
    <row r="613" spans="1:21">
      <c r="A613" s="38"/>
      <c r="B613" s="38"/>
      <c r="C613" s="38"/>
      <c r="D613" s="38"/>
      <c r="E613" s="38"/>
      <c r="F613" s="49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</row>
    <row r="614" spans="1:21">
      <c r="A614" s="38"/>
      <c r="B614" s="38"/>
      <c r="C614" s="38"/>
      <c r="D614" s="38"/>
      <c r="E614" s="38"/>
      <c r="F614" s="49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</row>
    <row r="615" spans="1:21">
      <c r="A615" s="38"/>
      <c r="B615" s="38"/>
      <c r="C615" s="38"/>
      <c r="D615" s="38"/>
      <c r="E615" s="38"/>
      <c r="F615" s="49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</row>
    <row r="616" spans="1:21">
      <c r="A616" s="38"/>
      <c r="B616" s="38"/>
      <c r="C616" s="38"/>
      <c r="D616" s="38"/>
      <c r="E616" s="38"/>
      <c r="F616" s="49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</row>
    <row r="617" spans="1:21">
      <c r="A617" s="38"/>
      <c r="B617" s="38"/>
      <c r="C617" s="38"/>
      <c r="D617" s="38"/>
      <c r="E617" s="38"/>
      <c r="F617" s="49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</row>
    <row r="618" spans="1:21">
      <c r="A618" s="38"/>
      <c r="B618" s="38"/>
      <c r="C618" s="38"/>
      <c r="D618" s="38"/>
      <c r="E618" s="38"/>
      <c r="F618" s="49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</row>
    <row r="619" spans="1:21">
      <c r="A619" s="38"/>
      <c r="B619" s="38"/>
      <c r="C619" s="38"/>
      <c r="D619" s="38"/>
      <c r="E619" s="38"/>
      <c r="F619" s="49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</row>
    <row r="620" spans="1:21">
      <c r="A620" s="38"/>
      <c r="B620" s="38"/>
      <c r="C620" s="38"/>
      <c r="D620" s="38"/>
      <c r="E620" s="38"/>
      <c r="F620" s="49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</row>
    <row r="621" spans="1:21">
      <c r="A621" s="38"/>
      <c r="B621" s="38"/>
      <c r="C621" s="38"/>
      <c r="D621" s="38"/>
      <c r="E621" s="38"/>
      <c r="F621" s="49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</row>
    <row r="622" spans="1:21">
      <c r="A622" s="38"/>
      <c r="B622" s="38"/>
      <c r="C622" s="38"/>
      <c r="D622" s="38"/>
      <c r="E622" s="38"/>
      <c r="F622" s="49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</row>
    <row r="623" spans="1:21">
      <c r="A623" s="38"/>
      <c r="B623" s="38"/>
      <c r="C623" s="38"/>
      <c r="D623" s="38"/>
      <c r="E623" s="38"/>
      <c r="F623" s="49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</row>
    <row r="624" spans="1:21">
      <c r="A624" s="38"/>
      <c r="B624" s="38"/>
      <c r="C624" s="38"/>
      <c r="D624" s="38"/>
      <c r="E624" s="38"/>
      <c r="F624" s="49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</row>
    <row r="625" spans="1:21">
      <c r="A625" s="38"/>
      <c r="B625" s="38"/>
      <c r="C625" s="38"/>
      <c r="D625" s="38"/>
      <c r="E625" s="38"/>
      <c r="F625" s="49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</row>
    <row r="626" spans="1:21">
      <c r="A626" s="38"/>
      <c r="B626" s="38"/>
      <c r="C626" s="38"/>
      <c r="D626" s="38"/>
      <c r="E626" s="38"/>
      <c r="F626" s="49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</row>
    <row r="627" spans="1:21">
      <c r="A627" s="38"/>
      <c r="B627" s="38"/>
      <c r="C627" s="38"/>
      <c r="D627" s="38"/>
      <c r="E627" s="38"/>
      <c r="F627" s="49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</row>
    <row r="628" spans="1:21">
      <c r="A628" s="38"/>
      <c r="B628" s="38"/>
      <c r="C628" s="38"/>
      <c r="D628" s="38"/>
      <c r="E628" s="38"/>
      <c r="F628" s="49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</row>
    <row r="629" spans="1:21">
      <c r="A629" s="38"/>
      <c r="B629" s="38"/>
      <c r="C629" s="38"/>
      <c r="D629" s="38"/>
      <c r="E629" s="38"/>
      <c r="F629" s="49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</row>
    <row r="630" spans="1:21">
      <c r="A630" s="38"/>
      <c r="B630" s="38"/>
      <c r="C630" s="38"/>
      <c r="D630" s="38"/>
      <c r="E630" s="38"/>
      <c r="F630" s="49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</row>
    <row r="631" spans="1:21">
      <c r="A631" s="38"/>
      <c r="B631" s="38"/>
      <c r="C631" s="38"/>
      <c r="D631" s="38"/>
      <c r="E631" s="38"/>
      <c r="F631" s="49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</row>
    <row r="632" spans="1:21">
      <c r="A632" s="38"/>
      <c r="B632" s="38"/>
      <c r="C632" s="38"/>
      <c r="D632" s="38"/>
      <c r="E632" s="38"/>
      <c r="F632" s="49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</row>
    <row r="633" spans="1:21">
      <c r="A633" s="38"/>
      <c r="B633" s="38"/>
      <c r="C633" s="38"/>
      <c r="D633" s="38"/>
      <c r="E633" s="38"/>
      <c r="F633" s="49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</row>
    <row r="634" spans="1:21">
      <c r="A634" s="38"/>
      <c r="B634" s="38"/>
      <c r="C634" s="38"/>
      <c r="D634" s="38"/>
      <c r="E634" s="38"/>
      <c r="F634" s="49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</row>
    <row r="635" spans="1:21">
      <c r="A635" s="38"/>
      <c r="B635" s="38"/>
      <c r="C635" s="38"/>
      <c r="D635" s="38"/>
      <c r="E635" s="38"/>
      <c r="F635" s="49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</row>
    <row r="636" spans="1:21">
      <c r="A636" s="38"/>
      <c r="B636" s="38"/>
      <c r="C636" s="38"/>
      <c r="D636" s="38"/>
      <c r="E636" s="38"/>
      <c r="F636" s="49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</row>
    <row r="637" spans="1:21">
      <c r="A637" s="38"/>
      <c r="B637" s="38"/>
      <c r="C637" s="38"/>
      <c r="D637" s="38"/>
      <c r="E637" s="38"/>
      <c r="F637" s="49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</row>
    <row r="638" spans="1:21">
      <c r="A638" s="38"/>
      <c r="B638" s="38"/>
      <c r="C638" s="38"/>
      <c r="D638" s="38"/>
      <c r="E638" s="38"/>
      <c r="F638" s="49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</row>
    <row r="639" spans="1:21">
      <c r="A639" s="38"/>
      <c r="B639" s="38"/>
      <c r="C639" s="38"/>
      <c r="D639" s="38"/>
      <c r="E639" s="38"/>
      <c r="F639" s="49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</row>
    <row r="640" spans="1:21">
      <c r="A640" s="38"/>
      <c r="B640" s="38"/>
      <c r="C640" s="38"/>
      <c r="D640" s="38"/>
      <c r="E640" s="38"/>
      <c r="F640" s="49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</row>
    <row r="641" spans="1:21">
      <c r="A641" s="38"/>
      <c r="B641" s="38"/>
      <c r="C641" s="38"/>
      <c r="D641" s="38"/>
      <c r="E641" s="38"/>
      <c r="F641" s="49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</row>
    <row r="642" spans="1:21">
      <c r="A642" s="38"/>
      <c r="B642" s="38"/>
      <c r="C642" s="38"/>
      <c r="D642" s="38"/>
      <c r="E642" s="38"/>
      <c r="F642" s="49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</row>
    <row r="643" spans="1:21">
      <c r="A643" s="38"/>
      <c r="B643" s="38"/>
      <c r="C643" s="38"/>
      <c r="D643" s="38"/>
      <c r="E643" s="38"/>
      <c r="F643" s="49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</row>
    <row r="644" spans="1:21">
      <c r="A644" s="38"/>
      <c r="B644" s="38"/>
      <c r="C644" s="38"/>
      <c r="D644" s="38"/>
      <c r="E644" s="38"/>
      <c r="F644" s="49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</row>
    <row r="645" spans="1:21">
      <c r="A645" s="38"/>
      <c r="B645" s="38"/>
      <c r="C645" s="38"/>
      <c r="D645" s="38"/>
      <c r="E645" s="38"/>
      <c r="F645" s="49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</row>
    <row r="646" spans="1:21">
      <c r="A646" s="38"/>
      <c r="B646" s="38"/>
      <c r="C646" s="38"/>
      <c r="D646" s="38"/>
      <c r="E646" s="38"/>
      <c r="F646" s="49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</row>
    <row r="647" spans="1:21">
      <c r="A647" s="38"/>
      <c r="B647" s="38"/>
      <c r="C647" s="38"/>
      <c r="D647" s="38"/>
      <c r="E647" s="38"/>
      <c r="F647" s="49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</row>
    <row r="648" spans="1:21">
      <c r="A648" s="38"/>
      <c r="B648" s="38"/>
      <c r="C648" s="38"/>
      <c r="D648" s="38"/>
      <c r="E648" s="38"/>
      <c r="F648" s="49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</row>
    <row r="649" spans="1:21">
      <c r="A649" s="38"/>
      <c r="B649" s="38"/>
      <c r="C649" s="38"/>
      <c r="D649" s="38"/>
      <c r="E649" s="38"/>
      <c r="F649" s="49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</row>
    <row r="650" spans="1:21">
      <c r="A650" s="38"/>
      <c r="B650" s="38"/>
      <c r="C650" s="38"/>
      <c r="D650" s="38"/>
      <c r="E650" s="38"/>
      <c r="F650" s="49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</row>
    <row r="651" spans="1:21">
      <c r="A651" s="38"/>
      <c r="B651" s="38"/>
      <c r="C651" s="38"/>
      <c r="D651" s="38"/>
      <c r="E651" s="38"/>
      <c r="F651" s="49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</row>
    <row r="652" spans="1:21">
      <c r="A652" s="38"/>
      <c r="B652" s="38"/>
      <c r="C652" s="38"/>
      <c r="D652" s="38"/>
      <c r="E652" s="38"/>
      <c r="F652" s="49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</row>
    <row r="653" spans="1:21">
      <c r="A653" s="38"/>
      <c r="B653" s="38"/>
      <c r="C653" s="38"/>
      <c r="D653" s="38"/>
      <c r="E653" s="38"/>
      <c r="F653" s="49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</row>
    <row r="654" spans="1:21">
      <c r="A654" s="38"/>
      <c r="B654" s="38"/>
      <c r="C654" s="38"/>
      <c r="D654" s="38"/>
      <c r="E654" s="38"/>
      <c r="F654" s="49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</row>
    <row r="655" spans="1:21">
      <c r="A655" s="38"/>
      <c r="B655" s="38"/>
      <c r="C655" s="38"/>
      <c r="D655" s="38"/>
      <c r="E655" s="38"/>
      <c r="F655" s="49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</row>
    <row r="656" spans="1:21">
      <c r="A656" s="38"/>
      <c r="B656" s="38"/>
      <c r="C656" s="38"/>
      <c r="D656" s="38"/>
      <c r="E656" s="38"/>
      <c r="F656" s="49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</row>
    <row r="657" spans="1:21">
      <c r="A657" s="38"/>
      <c r="B657" s="38"/>
      <c r="C657" s="38"/>
      <c r="D657" s="38"/>
      <c r="E657" s="38"/>
      <c r="F657" s="49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</row>
    <row r="658" spans="1:21">
      <c r="A658" s="38"/>
      <c r="B658" s="38"/>
      <c r="C658" s="38"/>
      <c r="D658" s="38"/>
      <c r="E658" s="38"/>
      <c r="F658" s="49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</row>
    <row r="659" spans="1:21">
      <c r="A659" s="38"/>
      <c r="B659" s="38"/>
      <c r="C659" s="38"/>
      <c r="D659" s="38"/>
      <c r="E659" s="38"/>
      <c r="F659" s="49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</row>
    <row r="660" spans="1:21">
      <c r="A660" s="38"/>
      <c r="B660" s="38"/>
      <c r="C660" s="38"/>
      <c r="D660" s="38"/>
      <c r="E660" s="38"/>
      <c r="F660" s="49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</row>
    <row r="661" spans="1:21">
      <c r="A661" s="38"/>
      <c r="B661" s="38"/>
      <c r="C661" s="38"/>
      <c r="D661" s="38"/>
      <c r="E661" s="38"/>
      <c r="F661" s="49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</row>
    <row r="662" spans="1:21">
      <c r="A662" s="38"/>
      <c r="B662" s="38"/>
      <c r="C662" s="38"/>
      <c r="D662" s="38"/>
      <c r="E662" s="38"/>
      <c r="F662" s="49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</row>
    <row r="663" spans="1:21">
      <c r="A663" s="38"/>
      <c r="B663" s="38"/>
      <c r="C663" s="38"/>
      <c r="D663" s="38"/>
      <c r="E663" s="38"/>
      <c r="F663" s="49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</row>
    <row r="664" spans="1:21">
      <c r="A664" s="38"/>
      <c r="B664" s="38"/>
      <c r="C664" s="38"/>
      <c r="D664" s="38"/>
      <c r="E664" s="38"/>
      <c r="F664" s="49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</row>
    <row r="665" spans="1:21">
      <c r="A665" s="38"/>
      <c r="B665" s="38"/>
      <c r="C665" s="38"/>
      <c r="D665" s="38"/>
      <c r="E665" s="38"/>
      <c r="F665" s="49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</row>
    <row r="666" spans="1:21">
      <c r="A666" s="38"/>
      <c r="B666" s="38"/>
      <c r="C666" s="38"/>
      <c r="D666" s="38"/>
      <c r="E666" s="38"/>
      <c r="F666" s="49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</row>
    <row r="667" spans="1:21">
      <c r="A667" s="38"/>
      <c r="B667" s="38"/>
      <c r="C667" s="38"/>
      <c r="D667" s="38"/>
      <c r="E667" s="38"/>
      <c r="F667" s="49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</row>
    <row r="668" spans="1:21">
      <c r="A668" s="38"/>
      <c r="B668" s="38"/>
      <c r="C668" s="38"/>
      <c r="D668" s="38"/>
      <c r="E668" s="38"/>
      <c r="F668" s="49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</row>
    <row r="669" spans="1:21">
      <c r="A669" s="38"/>
      <c r="B669" s="38"/>
      <c r="C669" s="38"/>
      <c r="D669" s="38"/>
      <c r="E669" s="38"/>
      <c r="F669" s="49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</row>
    <row r="670" spans="1:21">
      <c r="A670" s="38"/>
      <c r="B670" s="38"/>
      <c r="C670" s="38"/>
      <c r="D670" s="38"/>
      <c r="E670" s="38"/>
      <c r="F670" s="49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</row>
    <row r="671" spans="1:21">
      <c r="A671" s="38"/>
      <c r="B671" s="38"/>
      <c r="C671" s="38"/>
      <c r="D671" s="38"/>
      <c r="E671" s="38"/>
      <c r="F671" s="49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</row>
    <row r="672" spans="1:21">
      <c r="A672" s="38"/>
      <c r="B672" s="38"/>
      <c r="C672" s="38"/>
      <c r="D672" s="38"/>
      <c r="E672" s="38"/>
      <c r="F672" s="49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</row>
    <row r="673" spans="1:21">
      <c r="A673" s="38"/>
      <c r="B673" s="38"/>
      <c r="C673" s="38"/>
      <c r="D673" s="38"/>
      <c r="E673" s="38"/>
      <c r="F673" s="49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</row>
    <row r="674" spans="1:21">
      <c r="A674" s="38"/>
      <c r="B674" s="38"/>
      <c r="C674" s="38"/>
      <c r="D674" s="38"/>
      <c r="E674" s="38"/>
      <c r="F674" s="49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</row>
    <row r="675" spans="1:21">
      <c r="A675" s="38"/>
      <c r="B675" s="38"/>
      <c r="C675" s="38"/>
      <c r="D675" s="38"/>
      <c r="E675" s="38"/>
      <c r="F675" s="49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</row>
    <row r="676" spans="1:21">
      <c r="A676" s="38"/>
      <c r="B676" s="38"/>
      <c r="C676" s="38"/>
      <c r="D676" s="38"/>
      <c r="E676" s="38"/>
      <c r="F676" s="49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</row>
    <row r="677" spans="1:21">
      <c r="A677" s="38"/>
      <c r="B677" s="38"/>
      <c r="C677" s="38"/>
      <c r="D677" s="38"/>
      <c r="E677" s="38"/>
      <c r="F677" s="49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</row>
    <row r="678" spans="1:21">
      <c r="A678" s="38"/>
      <c r="B678" s="38"/>
      <c r="C678" s="38"/>
      <c r="D678" s="38"/>
      <c r="E678" s="38"/>
      <c r="F678" s="49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</row>
    <row r="679" spans="1:21">
      <c r="A679" s="38"/>
      <c r="B679" s="38"/>
      <c r="C679" s="38"/>
      <c r="D679" s="38"/>
      <c r="E679" s="38"/>
      <c r="F679" s="49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</row>
    <row r="680" spans="1:21">
      <c r="A680" s="38"/>
      <c r="B680" s="38"/>
      <c r="C680" s="38"/>
      <c r="D680" s="38"/>
      <c r="E680" s="38"/>
      <c r="F680" s="49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</row>
    <row r="681" spans="1:21">
      <c r="A681" s="38"/>
      <c r="B681" s="38"/>
      <c r="C681" s="38"/>
      <c r="D681" s="38"/>
      <c r="E681" s="38"/>
      <c r="F681" s="49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</row>
    <row r="682" spans="1:21">
      <c r="A682" s="38"/>
      <c r="B682" s="38"/>
      <c r="C682" s="38"/>
      <c r="D682" s="38"/>
      <c r="E682" s="38"/>
      <c r="F682" s="49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</row>
    <row r="683" spans="1:21">
      <c r="A683" s="38"/>
      <c r="B683" s="38"/>
      <c r="C683" s="38"/>
      <c r="D683" s="38"/>
      <c r="E683" s="38"/>
      <c r="F683" s="49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</row>
    <row r="684" spans="1:21">
      <c r="A684" s="38"/>
      <c r="B684" s="38"/>
      <c r="C684" s="38"/>
      <c r="D684" s="38"/>
      <c r="E684" s="38"/>
      <c r="F684" s="49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</row>
    <row r="685" spans="1:21">
      <c r="A685" s="38"/>
      <c r="B685" s="38"/>
      <c r="C685" s="38"/>
      <c r="D685" s="38"/>
      <c r="E685" s="38"/>
      <c r="F685" s="49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</row>
    <row r="686" spans="1:21">
      <c r="A686" s="38"/>
      <c r="B686" s="38"/>
      <c r="C686" s="38"/>
      <c r="D686" s="38"/>
      <c r="E686" s="38"/>
      <c r="F686" s="49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</row>
    <row r="687" spans="1:21">
      <c r="A687" s="38"/>
      <c r="B687" s="38"/>
      <c r="C687" s="38"/>
      <c r="D687" s="38"/>
      <c r="E687" s="38"/>
      <c r="F687" s="49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</row>
    <row r="688" spans="1:21">
      <c r="A688" s="38"/>
      <c r="B688" s="38"/>
      <c r="C688" s="38"/>
      <c r="D688" s="38"/>
      <c r="E688" s="38"/>
      <c r="F688" s="49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</row>
    <row r="689" spans="1:21">
      <c r="A689" s="38"/>
      <c r="B689" s="38"/>
      <c r="C689" s="38"/>
      <c r="D689" s="38"/>
      <c r="E689" s="38"/>
      <c r="F689" s="49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</row>
    <row r="690" spans="1:21">
      <c r="A690" s="38"/>
      <c r="B690" s="38"/>
      <c r="C690" s="38"/>
      <c r="D690" s="38"/>
      <c r="E690" s="38"/>
      <c r="F690" s="49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</row>
    <row r="691" spans="1:21">
      <c r="A691" s="38"/>
      <c r="B691" s="38"/>
      <c r="C691" s="38"/>
      <c r="D691" s="38"/>
      <c r="E691" s="38"/>
      <c r="F691" s="49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</row>
    <row r="692" spans="1:21">
      <c r="A692" s="38"/>
      <c r="B692" s="38"/>
      <c r="C692" s="38"/>
      <c r="D692" s="38"/>
      <c r="E692" s="38"/>
      <c r="F692" s="49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</row>
    <row r="693" spans="1:21">
      <c r="A693" s="38"/>
      <c r="B693" s="38"/>
      <c r="C693" s="38"/>
      <c r="D693" s="38"/>
      <c r="E693" s="38"/>
      <c r="F693" s="49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</row>
    <row r="694" spans="1:21">
      <c r="A694" s="38"/>
      <c r="B694" s="38"/>
      <c r="C694" s="38"/>
      <c r="D694" s="38"/>
      <c r="E694" s="38"/>
      <c r="F694" s="49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</row>
    <row r="695" spans="1:21">
      <c r="A695" s="38"/>
      <c r="B695" s="38"/>
      <c r="C695" s="38"/>
      <c r="D695" s="38"/>
      <c r="E695" s="38"/>
      <c r="F695" s="49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</row>
    <row r="696" spans="1:21">
      <c r="A696" s="38"/>
      <c r="B696" s="38"/>
      <c r="C696" s="38"/>
      <c r="D696" s="38"/>
      <c r="E696" s="38"/>
      <c r="F696" s="49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</row>
    <row r="697" spans="1:21">
      <c r="A697" s="38"/>
      <c r="B697" s="38"/>
      <c r="C697" s="38"/>
      <c r="D697" s="38"/>
      <c r="E697" s="38"/>
      <c r="F697" s="49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</row>
    <row r="698" spans="1:21">
      <c r="A698" s="38"/>
      <c r="B698" s="38"/>
      <c r="C698" s="38"/>
      <c r="D698" s="38"/>
      <c r="E698" s="38"/>
      <c r="F698" s="49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</row>
    <row r="699" spans="1:21">
      <c r="A699" s="38"/>
      <c r="B699" s="38"/>
      <c r="C699" s="38"/>
      <c r="D699" s="38"/>
      <c r="E699" s="38"/>
      <c r="F699" s="49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</row>
    <row r="700" spans="1:21">
      <c r="A700" s="38"/>
      <c r="B700" s="38"/>
      <c r="C700" s="38"/>
      <c r="D700" s="38"/>
      <c r="E700" s="38"/>
      <c r="F700" s="49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</row>
    <row r="701" spans="1:21">
      <c r="A701" s="38"/>
      <c r="B701" s="38"/>
      <c r="C701" s="38"/>
      <c r="D701" s="38"/>
      <c r="E701" s="38"/>
      <c r="F701" s="49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</row>
    <row r="702" spans="1:21">
      <c r="A702" s="38"/>
      <c r="B702" s="38"/>
      <c r="C702" s="38"/>
      <c r="D702" s="38"/>
      <c r="E702" s="38"/>
      <c r="F702" s="49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</row>
    <row r="703" spans="1:21">
      <c r="A703" s="38"/>
      <c r="B703" s="38"/>
      <c r="C703" s="38"/>
      <c r="D703" s="38"/>
      <c r="E703" s="38"/>
      <c r="F703" s="49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</row>
    <row r="704" spans="1:21">
      <c r="A704" s="38"/>
      <c r="B704" s="38"/>
      <c r="C704" s="38"/>
      <c r="D704" s="38"/>
      <c r="E704" s="38"/>
      <c r="F704" s="49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</row>
    <row r="705" spans="1:21">
      <c r="A705" s="38"/>
      <c r="B705" s="38"/>
      <c r="C705" s="38"/>
      <c r="D705" s="38"/>
      <c r="E705" s="38"/>
      <c r="F705" s="49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</row>
    <row r="706" spans="1:21">
      <c r="A706" s="38"/>
      <c r="B706" s="38"/>
      <c r="C706" s="38"/>
      <c r="D706" s="38"/>
      <c r="E706" s="38"/>
      <c r="F706" s="49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</row>
    <row r="707" spans="1:21">
      <c r="A707" s="38"/>
      <c r="B707" s="38"/>
      <c r="C707" s="38"/>
      <c r="D707" s="38"/>
      <c r="E707" s="38"/>
      <c r="F707" s="49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</row>
    <row r="708" spans="1:21">
      <c r="A708" s="38"/>
      <c r="B708" s="38"/>
      <c r="C708" s="38"/>
      <c r="D708" s="38"/>
      <c r="E708" s="38"/>
      <c r="F708" s="49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</row>
    <row r="709" spans="1:21">
      <c r="A709" s="38"/>
      <c r="B709" s="38"/>
      <c r="C709" s="38"/>
      <c r="D709" s="38"/>
      <c r="E709" s="38"/>
      <c r="F709" s="49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</row>
    <row r="710" spans="1:21">
      <c r="A710" s="38"/>
      <c r="B710" s="38"/>
      <c r="C710" s="38"/>
      <c r="D710" s="38"/>
      <c r="E710" s="38"/>
      <c r="F710" s="49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</row>
    <row r="711" spans="1:21">
      <c r="A711" s="38"/>
      <c r="B711" s="38"/>
      <c r="C711" s="38"/>
      <c r="D711" s="38"/>
      <c r="E711" s="38"/>
      <c r="F711" s="49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</row>
    <row r="712" spans="1:21">
      <c r="A712" s="38"/>
      <c r="B712" s="38"/>
      <c r="C712" s="38"/>
      <c r="D712" s="38"/>
      <c r="E712" s="38"/>
      <c r="F712" s="49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</row>
    <row r="713" spans="1:21">
      <c r="A713" s="38"/>
      <c r="B713" s="38"/>
      <c r="C713" s="38"/>
      <c r="D713" s="38"/>
      <c r="E713" s="38"/>
      <c r="F713" s="49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</row>
    <row r="714" spans="1:21">
      <c r="A714" s="38"/>
      <c r="B714" s="38"/>
      <c r="C714" s="38"/>
      <c r="D714" s="38"/>
      <c r="E714" s="38"/>
      <c r="F714" s="49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</row>
    <row r="715" spans="1:21">
      <c r="A715" s="38"/>
      <c r="B715" s="38"/>
      <c r="C715" s="38"/>
      <c r="D715" s="38"/>
      <c r="E715" s="38"/>
      <c r="F715" s="49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</row>
    <row r="716" spans="1:21">
      <c r="A716" s="38"/>
      <c r="B716" s="38"/>
      <c r="C716" s="38"/>
      <c r="D716" s="38"/>
      <c r="E716" s="38"/>
      <c r="F716" s="49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</row>
    <row r="717" spans="1:21">
      <c r="A717" s="38"/>
      <c r="B717" s="38"/>
      <c r="C717" s="38"/>
      <c r="D717" s="38"/>
      <c r="E717" s="38"/>
      <c r="F717" s="49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</row>
    <row r="718" spans="1:21">
      <c r="A718" s="38"/>
      <c r="B718" s="38"/>
      <c r="C718" s="38"/>
      <c r="D718" s="38"/>
      <c r="E718" s="38"/>
      <c r="F718" s="49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</row>
    <row r="719" spans="1:21">
      <c r="A719" s="38"/>
      <c r="B719" s="38"/>
      <c r="C719" s="38"/>
      <c r="D719" s="38"/>
      <c r="E719" s="38"/>
      <c r="F719" s="49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</row>
    <row r="720" spans="1:21">
      <c r="A720" s="38"/>
      <c r="B720" s="38"/>
      <c r="C720" s="38"/>
      <c r="D720" s="38"/>
      <c r="E720" s="38"/>
      <c r="F720" s="49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</row>
    <row r="721" spans="1:21">
      <c r="A721" s="38"/>
      <c r="B721" s="38"/>
      <c r="C721" s="38"/>
      <c r="D721" s="38"/>
      <c r="E721" s="38"/>
      <c r="F721" s="49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</row>
    <row r="722" spans="1:21">
      <c r="A722" s="38"/>
      <c r="B722" s="38"/>
      <c r="C722" s="38"/>
      <c r="D722" s="38"/>
      <c r="E722" s="38"/>
      <c r="F722" s="49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</row>
    <row r="723" spans="1:21">
      <c r="A723" s="38"/>
      <c r="B723" s="38"/>
      <c r="C723" s="38"/>
      <c r="D723" s="38"/>
      <c r="E723" s="38"/>
      <c r="F723" s="49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</row>
    <row r="724" spans="1:21">
      <c r="A724" s="38"/>
      <c r="B724" s="38"/>
      <c r="C724" s="38"/>
      <c r="D724" s="38"/>
      <c r="E724" s="38"/>
      <c r="F724" s="49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</row>
    <row r="725" spans="1:21">
      <c r="A725" s="38"/>
      <c r="B725" s="38"/>
      <c r="C725" s="38"/>
      <c r="D725" s="38"/>
      <c r="E725" s="38"/>
      <c r="F725" s="49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</row>
    <row r="726" spans="1:21">
      <c r="A726" s="38"/>
      <c r="B726" s="38"/>
      <c r="C726" s="38"/>
      <c r="D726" s="38"/>
      <c r="E726" s="38"/>
      <c r="F726" s="49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</row>
    <row r="727" spans="1:21">
      <c r="A727" s="38"/>
      <c r="B727" s="38"/>
      <c r="C727" s="38"/>
      <c r="D727" s="38"/>
      <c r="E727" s="38"/>
      <c r="F727" s="49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</row>
    <row r="728" spans="1:21">
      <c r="A728" s="38"/>
      <c r="B728" s="38"/>
      <c r="C728" s="38"/>
      <c r="D728" s="38"/>
      <c r="E728" s="38"/>
      <c r="F728" s="49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</row>
    <row r="729" spans="1:21">
      <c r="A729" s="38"/>
      <c r="B729" s="38"/>
      <c r="C729" s="38"/>
      <c r="D729" s="38"/>
      <c r="E729" s="38"/>
      <c r="F729" s="49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</row>
    <row r="730" spans="1:21">
      <c r="A730" s="38"/>
      <c r="B730" s="38"/>
      <c r="C730" s="38"/>
      <c r="D730" s="38"/>
      <c r="E730" s="38"/>
      <c r="F730" s="49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</row>
    <row r="731" spans="1:21">
      <c r="A731" s="38"/>
      <c r="B731" s="38"/>
      <c r="C731" s="38"/>
      <c r="D731" s="38"/>
      <c r="E731" s="38"/>
      <c r="F731" s="49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</row>
    <row r="732" spans="1:21">
      <c r="A732" s="38"/>
      <c r="B732" s="38"/>
      <c r="C732" s="38"/>
      <c r="D732" s="38"/>
      <c r="E732" s="38"/>
      <c r="F732" s="49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</row>
    <row r="733" spans="1:21">
      <c r="A733" s="38"/>
      <c r="B733" s="38"/>
      <c r="C733" s="38"/>
      <c r="D733" s="38"/>
      <c r="E733" s="38"/>
      <c r="F733" s="49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</row>
    <row r="734" spans="1:21">
      <c r="A734" s="38"/>
      <c r="B734" s="38"/>
      <c r="C734" s="38"/>
      <c r="D734" s="38"/>
      <c r="E734" s="38"/>
      <c r="F734" s="49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</row>
    <row r="735" spans="1:21">
      <c r="A735" s="38"/>
      <c r="B735" s="38"/>
      <c r="C735" s="38"/>
      <c r="D735" s="38"/>
      <c r="E735" s="38"/>
      <c r="F735" s="49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</row>
    <row r="736" spans="1:21">
      <c r="A736" s="38"/>
      <c r="B736" s="38"/>
      <c r="C736" s="38"/>
      <c r="D736" s="38"/>
      <c r="E736" s="38"/>
      <c r="F736" s="49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</row>
    <row r="737" spans="1:21">
      <c r="A737" s="38"/>
      <c r="B737" s="38"/>
      <c r="C737" s="38"/>
      <c r="D737" s="38"/>
      <c r="E737" s="38"/>
      <c r="F737" s="49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</row>
    <row r="738" spans="1:21">
      <c r="A738" s="38"/>
      <c r="B738" s="38"/>
      <c r="C738" s="38"/>
      <c r="D738" s="38"/>
      <c r="E738" s="38"/>
      <c r="F738" s="49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</row>
    <row r="739" spans="1:21">
      <c r="A739" s="38"/>
      <c r="B739" s="38"/>
      <c r="C739" s="38"/>
      <c r="D739" s="38"/>
      <c r="E739" s="38"/>
      <c r="F739" s="49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</row>
    <row r="740" spans="1:21">
      <c r="A740" s="38"/>
      <c r="B740" s="38"/>
      <c r="C740" s="38"/>
      <c r="D740" s="38"/>
      <c r="E740" s="38"/>
      <c r="F740" s="49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</row>
    <row r="741" spans="1:21">
      <c r="A741" s="38"/>
      <c r="B741" s="38"/>
      <c r="C741" s="38"/>
      <c r="D741" s="38"/>
      <c r="E741" s="38"/>
      <c r="F741" s="49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</row>
    <row r="742" spans="1:21">
      <c r="A742" s="38"/>
      <c r="B742" s="38"/>
      <c r="C742" s="38"/>
      <c r="D742" s="38"/>
      <c r="E742" s="38"/>
      <c r="F742" s="49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</row>
    <row r="743" spans="1:21">
      <c r="A743" s="38"/>
      <c r="B743" s="38"/>
      <c r="C743" s="38"/>
      <c r="D743" s="38"/>
      <c r="E743" s="38"/>
      <c r="F743" s="49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</row>
    <row r="744" spans="1:21">
      <c r="A744" s="38"/>
      <c r="B744" s="38"/>
      <c r="C744" s="38"/>
      <c r="D744" s="38"/>
      <c r="E744" s="38"/>
      <c r="F744" s="49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</row>
    <row r="745" spans="1:21">
      <c r="A745" s="38"/>
      <c r="B745" s="38"/>
      <c r="C745" s="38"/>
      <c r="D745" s="38"/>
      <c r="E745" s="38"/>
      <c r="F745" s="49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</row>
    <row r="746" spans="1:21">
      <c r="A746" s="38"/>
      <c r="B746" s="38"/>
      <c r="C746" s="38"/>
      <c r="D746" s="38"/>
      <c r="E746" s="38"/>
      <c r="F746" s="49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</row>
    <row r="747" spans="1:21">
      <c r="A747" s="38"/>
      <c r="B747" s="38"/>
      <c r="C747" s="38"/>
      <c r="D747" s="38"/>
      <c r="E747" s="38"/>
      <c r="F747" s="49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</row>
    <row r="748" spans="1:21">
      <c r="A748" s="38"/>
      <c r="B748" s="38"/>
      <c r="C748" s="38"/>
      <c r="D748" s="38"/>
      <c r="E748" s="38"/>
      <c r="F748" s="49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</row>
    <row r="749" spans="1:21">
      <c r="A749" s="38"/>
      <c r="B749" s="38"/>
      <c r="C749" s="38"/>
      <c r="D749" s="38"/>
      <c r="E749" s="38"/>
      <c r="F749" s="49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</row>
    <row r="750" spans="1:21">
      <c r="A750" s="38"/>
      <c r="B750" s="38"/>
      <c r="C750" s="38"/>
      <c r="D750" s="38"/>
      <c r="E750" s="38"/>
      <c r="F750" s="49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</row>
    <row r="751" spans="1:21">
      <c r="A751" s="38"/>
      <c r="B751" s="38"/>
      <c r="C751" s="38"/>
      <c r="D751" s="38"/>
      <c r="E751" s="38"/>
      <c r="F751" s="49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</row>
    <row r="752" spans="1:21">
      <c r="A752" s="38"/>
      <c r="B752" s="38"/>
      <c r="C752" s="38"/>
      <c r="D752" s="38"/>
      <c r="E752" s="38"/>
      <c r="F752" s="49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</row>
    <row r="753" spans="1:21">
      <c r="A753" s="38"/>
      <c r="B753" s="38"/>
      <c r="C753" s="38"/>
      <c r="D753" s="38"/>
      <c r="E753" s="38"/>
      <c r="F753" s="49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</row>
    <row r="754" spans="1:21">
      <c r="A754" s="38"/>
      <c r="B754" s="38"/>
      <c r="C754" s="38"/>
      <c r="D754" s="38"/>
      <c r="E754" s="38"/>
      <c r="F754" s="49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</row>
    <row r="755" spans="1:21">
      <c r="A755" s="38"/>
      <c r="B755" s="38"/>
      <c r="C755" s="38"/>
      <c r="D755" s="38"/>
      <c r="E755" s="38"/>
      <c r="F755" s="49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</row>
    <row r="756" spans="1:21">
      <c r="A756" s="38"/>
      <c r="B756" s="38"/>
      <c r="C756" s="38"/>
      <c r="D756" s="38"/>
      <c r="E756" s="38"/>
      <c r="F756" s="49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</row>
    <row r="757" spans="1:21">
      <c r="A757" s="38"/>
      <c r="B757" s="38"/>
      <c r="C757" s="38"/>
      <c r="D757" s="38"/>
      <c r="E757" s="38"/>
      <c r="F757" s="49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</row>
    <row r="758" spans="1:21">
      <c r="A758" s="38"/>
      <c r="B758" s="38"/>
      <c r="C758" s="38"/>
      <c r="D758" s="38"/>
      <c r="E758" s="38"/>
      <c r="F758" s="49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</row>
    <row r="759" spans="1:21">
      <c r="A759" s="38"/>
      <c r="B759" s="38"/>
      <c r="C759" s="38"/>
      <c r="D759" s="38"/>
      <c r="E759" s="38"/>
      <c r="F759" s="49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</row>
    <row r="760" spans="1:21">
      <c r="A760" s="38"/>
      <c r="B760" s="38"/>
      <c r="C760" s="38"/>
      <c r="D760" s="38"/>
      <c r="E760" s="38"/>
      <c r="F760" s="49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</row>
    <row r="761" spans="1:21">
      <c r="A761" s="38"/>
      <c r="B761" s="38"/>
      <c r="C761" s="38"/>
      <c r="D761" s="38"/>
      <c r="E761" s="38"/>
      <c r="F761" s="49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</row>
    <row r="762" spans="1:21">
      <c r="A762" s="38"/>
      <c r="B762" s="38"/>
      <c r="C762" s="38"/>
      <c r="D762" s="38"/>
      <c r="E762" s="38"/>
      <c r="F762" s="49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</row>
    <row r="763" spans="1:21">
      <c r="A763" s="38"/>
      <c r="B763" s="38"/>
      <c r="C763" s="38"/>
      <c r="D763" s="38"/>
      <c r="E763" s="38"/>
      <c r="F763" s="49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</row>
    <row r="764" spans="1:21">
      <c r="A764" s="38"/>
      <c r="B764" s="38"/>
      <c r="C764" s="38"/>
      <c r="D764" s="38"/>
      <c r="E764" s="38"/>
      <c r="F764" s="49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</row>
    <row r="765" spans="1:21">
      <c r="A765" s="38"/>
      <c r="B765" s="38"/>
      <c r="C765" s="38"/>
      <c r="D765" s="38"/>
      <c r="E765" s="38"/>
      <c r="F765" s="49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</row>
    <row r="766" spans="1:21">
      <c r="A766" s="38"/>
      <c r="B766" s="38"/>
      <c r="C766" s="38"/>
      <c r="D766" s="38"/>
      <c r="E766" s="38"/>
      <c r="F766" s="49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</row>
    <row r="767" spans="1:21">
      <c r="A767" s="38"/>
      <c r="B767" s="38"/>
      <c r="C767" s="38"/>
      <c r="D767" s="38"/>
      <c r="E767" s="38"/>
      <c r="F767" s="49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</row>
    <row r="768" spans="1:21">
      <c r="A768" s="38"/>
      <c r="B768" s="38"/>
      <c r="C768" s="38"/>
      <c r="D768" s="38"/>
      <c r="E768" s="38"/>
      <c r="F768" s="49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</row>
    <row r="769" spans="1:21">
      <c r="A769" s="38"/>
      <c r="B769" s="38"/>
      <c r="C769" s="38"/>
      <c r="D769" s="38"/>
      <c r="E769" s="38"/>
      <c r="F769" s="49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</row>
    <row r="770" spans="1:21">
      <c r="A770" s="38"/>
      <c r="B770" s="38"/>
      <c r="C770" s="38"/>
      <c r="D770" s="38"/>
      <c r="E770" s="38"/>
      <c r="F770" s="49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</row>
    <row r="771" spans="1:21">
      <c r="A771" s="38"/>
      <c r="B771" s="38"/>
      <c r="C771" s="38"/>
      <c r="D771" s="38"/>
      <c r="E771" s="38"/>
      <c r="F771" s="49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</row>
    <row r="772" spans="1:21">
      <c r="A772" s="38"/>
      <c r="B772" s="38"/>
      <c r="C772" s="38"/>
      <c r="D772" s="38"/>
      <c r="E772" s="38"/>
      <c r="F772" s="49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</row>
    <row r="773" spans="1:21">
      <c r="A773" s="38"/>
      <c r="B773" s="38"/>
      <c r="C773" s="38"/>
      <c r="D773" s="38"/>
      <c r="E773" s="38"/>
      <c r="F773" s="49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</row>
    <row r="774" spans="1:21">
      <c r="A774" s="38"/>
      <c r="B774" s="38"/>
      <c r="C774" s="38"/>
      <c r="D774" s="38"/>
      <c r="E774" s="38"/>
      <c r="F774" s="49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</row>
    <row r="775" spans="1:21">
      <c r="A775" s="38"/>
      <c r="B775" s="38"/>
      <c r="C775" s="38"/>
      <c r="D775" s="38"/>
      <c r="E775" s="38"/>
      <c r="F775" s="49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</row>
    <row r="776" spans="1:21">
      <c r="A776" s="38"/>
      <c r="B776" s="38"/>
      <c r="C776" s="38"/>
      <c r="D776" s="38"/>
      <c r="E776" s="38"/>
      <c r="F776" s="49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</row>
    <row r="777" spans="1:21">
      <c r="A777" s="38"/>
      <c r="B777" s="38"/>
      <c r="C777" s="38"/>
      <c r="D777" s="38"/>
      <c r="E777" s="38"/>
      <c r="F777" s="49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</row>
    <row r="778" spans="1:21">
      <c r="A778" s="38"/>
      <c r="B778" s="38"/>
      <c r="C778" s="38"/>
      <c r="D778" s="38"/>
      <c r="E778" s="38"/>
      <c r="F778" s="49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</row>
    <row r="779" spans="1:21">
      <c r="A779" s="38"/>
      <c r="B779" s="38"/>
      <c r="C779" s="38"/>
      <c r="D779" s="38"/>
      <c r="E779" s="38"/>
      <c r="F779" s="49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</row>
    <row r="780" spans="1:21">
      <c r="A780" s="38"/>
      <c r="B780" s="38"/>
      <c r="C780" s="38"/>
      <c r="D780" s="38"/>
      <c r="E780" s="38"/>
      <c r="F780" s="49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</row>
    <row r="781" spans="1:21">
      <c r="A781" s="38"/>
      <c r="B781" s="38"/>
      <c r="C781" s="38"/>
      <c r="D781" s="38"/>
      <c r="E781" s="38"/>
      <c r="F781" s="49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</row>
    <row r="782" spans="1:21">
      <c r="A782" s="38"/>
      <c r="B782" s="38"/>
      <c r="C782" s="38"/>
      <c r="D782" s="38"/>
      <c r="E782" s="38"/>
      <c r="F782" s="49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</row>
    <row r="783" spans="1:21">
      <c r="A783" s="38"/>
      <c r="B783" s="38"/>
      <c r="C783" s="38"/>
      <c r="D783" s="38"/>
      <c r="E783" s="38"/>
      <c r="F783" s="49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</row>
    <row r="784" spans="1:21">
      <c r="A784" s="38"/>
      <c r="B784" s="38"/>
      <c r="C784" s="38"/>
      <c r="D784" s="38"/>
      <c r="E784" s="38"/>
      <c r="F784" s="49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</row>
    <row r="785" spans="1:21">
      <c r="A785" s="38"/>
      <c r="B785" s="38"/>
      <c r="C785" s="38"/>
      <c r="D785" s="38"/>
      <c r="E785" s="38"/>
      <c r="F785" s="49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</row>
    <row r="786" spans="1:21">
      <c r="A786" s="38"/>
      <c r="B786" s="38"/>
      <c r="C786" s="38"/>
      <c r="D786" s="38"/>
      <c r="E786" s="38"/>
      <c r="F786" s="49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</row>
    <row r="787" spans="1:21">
      <c r="A787" s="38"/>
      <c r="B787" s="38"/>
      <c r="C787" s="38"/>
      <c r="D787" s="38"/>
      <c r="E787" s="38"/>
      <c r="F787" s="49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</row>
    <row r="788" spans="1:21">
      <c r="A788" s="38"/>
      <c r="B788" s="38"/>
      <c r="C788" s="38"/>
      <c r="D788" s="38"/>
      <c r="E788" s="38"/>
      <c r="F788" s="49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</row>
    <row r="789" spans="1:21">
      <c r="A789" s="38"/>
      <c r="B789" s="38"/>
      <c r="C789" s="38"/>
      <c r="D789" s="38"/>
      <c r="E789" s="38"/>
      <c r="F789" s="49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</row>
    <row r="790" spans="1:21">
      <c r="A790" s="38"/>
      <c r="B790" s="38"/>
      <c r="C790" s="38"/>
      <c r="D790" s="38"/>
      <c r="E790" s="38"/>
      <c r="F790" s="49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</row>
    <row r="791" spans="1:21">
      <c r="A791" s="38"/>
      <c r="B791" s="38"/>
      <c r="C791" s="38"/>
      <c r="D791" s="38"/>
      <c r="E791" s="38"/>
      <c r="F791" s="49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</row>
    <row r="792" spans="1:21">
      <c r="A792" s="38"/>
      <c r="B792" s="38"/>
      <c r="C792" s="38"/>
      <c r="D792" s="38"/>
      <c r="E792" s="38"/>
      <c r="F792" s="49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</row>
    <row r="793" spans="1:21">
      <c r="A793" s="38"/>
      <c r="B793" s="38"/>
      <c r="C793" s="38"/>
      <c r="D793" s="38"/>
      <c r="E793" s="38"/>
      <c r="F793" s="49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</row>
    <row r="794" spans="1:21">
      <c r="A794" s="38"/>
      <c r="B794" s="38"/>
      <c r="C794" s="38"/>
      <c r="D794" s="38"/>
      <c r="E794" s="38"/>
      <c r="F794" s="49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</row>
    <row r="795" spans="1:21">
      <c r="A795" s="38"/>
      <c r="B795" s="38"/>
      <c r="C795" s="38"/>
      <c r="D795" s="38"/>
      <c r="E795" s="38"/>
      <c r="F795" s="49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</row>
    <row r="796" spans="1:21">
      <c r="A796" s="38"/>
      <c r="B796" s="38"/>
      <c r="C796" s="38"/>
      <c r="D796" s="38"/>
      <c r="E796" s="38"/>
      <c r="F796" s="49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</row>
    <row r="797" spans="1:21">
      <c r="A797" s="38"/>
      <c r="B797" s="38"/>
      <c r="C797" s="38"/>
      <c r="D797" s="38"/>
      <c r="E797" s="38"/>
      <c r="F797" s="49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</row>
    <row r="798" spans="1:21">
      <c r="A798" s="38"/>
      <c r="B798" s="38"/>
      <c r="C798" s="38"/>
      <c r="D798" s="38"/>
      <c r="E798" s="38"/>
      <c r="F798" s="49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</row>
    <row r="799" spans="1:21">
      <c r="A799" s="38"/>
      <c r="B799" s="38"/>
      <c r="C799" s="38"/>
      <c r="D799" s="38"/>
      <c r="E799" s="38"/>
      <c r="F799" s="49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</row>
    <row r="800" spans="1:21">
      <c r="A800" s="38"/>
      <c r="B800" s="38"/>
      <c r="C800" s="38"/>
      <c r="D800" s="38"/>
      <c r="E800" s="38"/>
      <c r="F800" s="49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</row>
    <row r="801" spans="1:21">
      <c r="A801" s="38"/>
      <c r="B801" s="38"/>
      <c r="C801" s="38"/>
      <c r="D801" s="38"/>
      <c r="E801" s="38"/>
      <c r="F801" s="49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</row>
    <row r="802" spans="1:21">
      <c r="A802" s="38"/>
      <c r="B802" s="38"/>
      <c r="C802" s="38"/>
      <c r="D802" s="38"/>
      <c r="E802" s="38"/>
      <c r="F802" s="49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</row>
    <row r="803" spans="1:21">
      <c r="A803" s="38"/>
      <c r="B803" s="38"/>
      <c r="C803" s="38"/>
      <c r="D803" s="38"/>
      <c r="E803" s="38"/>
      <c r="F803" s="49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</row>
    <row r="804" spans="1:21">
      <c r="A804" s="38"/>
      <c r="B804" s="38"/>
      <c r="C804" s="38"/>
      <c r="D804" s="38"/>
      <c r="E804" s="38"/>
      <c r="F804" s="49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</row>
    <row r="805" spans="1:21">
      <c r="A805" s="38"/>
      <c r="B805" s="38"/>
      <c r="C805" s="38"/>
      <c r="D805" s="38"/>
      <c r="E805" s="38"/>
      <c r="F805" s="49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</row>
    <row r="806" spans="1:21">
      <c r="A806" s="38"/>
      <c r="B806" s="38"/>
      <c r="C806" s="38"/>
      <c r="D806" s="38"/>
      <c r="E806" s="38"/>
      <c r="F806" s="49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</row>
    <row r="807" spans="1:21">
      <c r="A807" s="38"/>
      <c r="B807" s="38"/>
      <c r="C807" s="38"/>
      <c r="D807" s="38"/>
      <c r="E807" s="38"/>
      <c r="F807" s="49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</row>
    <row r="808" spans="1:21">
      <c r="A808" s="38"/>
      <c r="B808" s="38"/>
      <c r="C808" s="38"/>
      <c r="D808" s="38"/>
      <c r="E808" s="38"/>
      <c r="F808" s="49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</row>
    <row r="809" spans="1:21">
      <c r="A809" s="38"/>
      <c r="B809" s="38"/>
      <c r="C809" s="38"/>
      <c r="D809" s="38"/>
      <c r="E809" s="38"/>
      <c r="F809" s="49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</row>
    <row r="810" spans="1:21">
      <c r="A810" s="38"/>
      <c r="B810" s="38"/>
      <c r="C810" s="38"/>
      <c r="D810" s="38"/>
      <c r="E810" s="38"/>
      <c r="F810" s="49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</row>
    <row r="811" spans="1:21">
      <c r="A811" s="38"/>
      <c r="B811" s="38"/>
      <c r="C811" s="38"/>
      <c r="D811" s="38"/>
      <c r="E811" s="38"/>
      <c r="F811" s="49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</row>
    <row r="812" spans="1:21">
      <c r="A812" s="38"/>
      <c r="B812" s="38"/>
      <c r="C812" s="38"/>
      <c r="D812" s="38"/>
      <c r="E812" s="38"/>
      <c r="F812" s="49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</row>
    <row r="813" spans="1:21">
      <c r="A813" s="38"/>
      <c r="B813" s="38"/>
      <c r="C813" s="38"/>
      <c r="D813" s="38"/>
      <c r="E813" s="38"/>
      <c r="F813" s="49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</row>
    <row r="814" spans="1:21">
      <c r="A814" s="38"/>
      <c r="B814" s="38"/>
      <c r="C814" s="38"/>
      <c r="D814" s="38"/>
      <c r="E814" s="38"/>
      <c r="F814" s="49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</row>
    <row r="815" spans="1:21">
      <c r="A815" s="38"/>
      <c r="B815" s="38"/>
      <c r="C815" s="38"/>
      <c r="D815" s="38"/>
      <c r="E815" s="38"/>
      <c r="F815" s="49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</row>
    <row r="816" spans="1:21">
      <c r="A816" s="38"/>
      <c r="B816" s="38"/>
      <c r="C816" s="38"/>
      <c r="D816" s="38"/>
      <c r="E816" s="38"/>
      <c r="F816" s="49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</row>
    <row r="817" spans="1:21">
      <c r="A817" s="38"/>
      <c r="B817" s="38"/>
      <c r="C817" s="38"/>
      <c r="D817" s="38"/>
      <c r="E817" s="38"/>
      <c r="F817" s="49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</row>
    <row r="818" spans="1:21">
      <c r="A818" s="38"/>
      <c r="B818" s="38"/>
      <c r="C818" s="38"/>
      <c r="D818" s="38"/>
      <c r="E818" s="38"/>
      <c r="F818" s="49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</row>
    <row r="819" spans="1:21">
      <c r="A819" s="38"/>
      <c r="B819" s="38"/>
      <c r="C819" s="38"/>
      <c r="D819" s="38"/>
      <c r="E819" s="38"/>
      <c r="F819" s="49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</row>
    <row r="820" spans="1:21">
      <c r="A820" s="38"/>
      <c r="B820" s="38"/>
      <c r="C820" s="38"/>
      <c r="D820" s="38"/>
      <c r="E820" s="38"/>
      <c r="F820" s="49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</row>
    <row r="821" spans="1:21">
      <c r="A821" s="38"/>
      <c r="B821" s="38"/>
      <c r="C821" s="38"/>
      <c r="D821" s="38"/>
      <c r="E821" s="38"/>
      <c r="F821" s="49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</row>
    <row r="822" spans="1:21">
      <c r="A822" s="38"/>
      <c r="B822" s="38"/>
      <c r="C822" s="38"/>
      <c r="D822" s="38"/>
      <c r="E822" s="38"/>
      <c r="F822" s="49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</row>
    <row r="823" spans="1:21">
      <c r="A823" s="38"/>
      <c r="B823" s="38"/>
      <c r="C823" s="38"/>
      <c r="D823" s="38"/>
      <c r="E823" s="38"/>
      <c r="F823" s="49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</row>
    <row r="824" spans="1:21">
      <c r="A824" s="38"/>
      <c r="B824" s="38"/>
      <c r="C824" s="38"/>
      <c r="D824" s="38"/>
      <c r="E824" s="38"/>
      <c r="F824" s="49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</row>
    <row r="825" spans="1:21">
      <c r="A825" s="38"/>
      <c r="B825" s="38"/>
      <c r="C825" s="38"/>
      <c r="D825" s="38"/>
      <c r="E825" s="38"/>
      <c r="F825" s="49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</row>
    <row r="826" spans="1:21">
      <c r="A826" s="38"/>
      <c r="B826" s="38"/>
      <c r="C826" s="38"/>
      <c r="D826" s="38"/>
      <c r="E826" s="38"/>
      <c r="F826" s="49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</row>
    <row r="827" spans="1:21">
      <c r="A827" s="38"/>
      <c r="B827" s="38"/>
      <c r="C827" s="38"/>
      <c r="D827" s="38"/>
      <c r="E827" s="38"/>
      <c r="F827" s="49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</row>
    <row r="828" spans="1:21">
      <c r="A828" s="38"/>
      <c r="B828" s="38"/>
      <c r="C828" s="38"/>
      <c r="D828" s="38"/>
      <c r="E828" s="38"/>
      <c r="F828" s="49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</row>
    <row r="829" spans="1:21">
      <c r="A829" s="38"/>
      <c r="B829" s="38"/>
      <c r="C829" s="38"/>
      <c r="D829" s="38"/>
      <c r="E829" s="38"/>
      <c r="F829" s="49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</row>
    <row r="830" spans="1:21">
      <c r="A830" s="38"/>
      <c r="B830" s="38"/>
      <c r="C830" s="38"/>
      <c r="D830" s="38"/>
      <c r="E830" s="38"/>
      <c r="F830" s="49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</row>
    <row r="831" spans="1:21">
      <c r="A831" s="38"/>
      <c r="B831" s="38"/>
      <c r="C831" s="38"/>
      <c r="D831" s="38"/>
      <c r="E831" s="38"/>
      <c r="F831" s="49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</row>
    <row r="832" spans="1:21">
      <c r="A832" s="38"/>
      <c r="B832" s="38"/>
      <c r="C832" s="38"/>
      <c r="D832" s="38"/>
      <c r="E832" s="38"/>
      <c r="F832" s="49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</row>
    <row r="833" spans="1:21">
      <c r="A833" s="38"/>
      <c r="B833" s="38"/>
      <c r="C833" s="38"/>
      <c r="D833" s="38"/>
      <c r="E833" s="38"/>
      <c r="F833" s="49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</row>
    <row r="834" spans="1:21">
      <c r="A834" s="38"/>
      <c r="B834" s="38"/>
      <c r="C834" s="38"/>
      <c r="D834" s="38"/>
      <c r="E834" s="38"/>
      <c r="F834" s="49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</row>
    <row r="835" spans="1:21">
      <c r="A835" s="38"/>
      <c r="B835" s="38"/>
      <c r="C835" s="38"/>
      <c r="D835" s="38"/>
      <c r="E835" s="38"/>
      <c r="F835" s="49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</row>
    <row r="836" spans="1:21">
      <c r="A836" s="38"/>
      <c r="B836" s="38"/>
      <c r="C836" s="38"/>
      <c r="D836" s="38"/>
      <c r="E836" s="38"/>
      <c r="F836" s="49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</row>
    <row r="837" spans="1:21">
      <c r="A837" s="38"/>
      <c r="B837" s="38"/>
      <c r="C837" s="38"/>
      <c r="D837" s="38"/>
      <c r="E837" s="38"/>
      <c r="F837" s="49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</row>
    <row r="838" spans="1:21">
      <c r="A838" s="38"/>
      <c r="B838" s="38"/>
      <c r="C838" s="38"/>
      <c r="D838" s="38"/>
      <c r="E838" s="38"/>
      <c r="F838" s="49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</row>
    <row r="839" spans="1:21">
      <c r="A839" s="38"/>
      <c r="B839" s="38"/>
      <c r="C839" s="38"/>
      <c r="D839" s="38"/>
      <c r="E839" s="38"/>
      <c r="F839" s="49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</row>
    <row r="840" spans="1:21">
      <c r="A840" s="38"/>
      <c r="B840" s="38"/>
      <c r="C840" s="38"/>
      <c r="D840" s="38"/>
      <c r="E840" s="38"/>
      <c r="F840" s="49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</row>
    <row r="841" spans="1:21">
      <c r="A841" s="38"/>
      <c r="B841" s="38"/>
      <c r="C841" s="38"/>
      <c r="D841" s="38"/>
      <c r="E841" s="38"/>
      <c r="F841" s="49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</row>
    <row r="842" spans="1:21">
      <c r="A842" s="38"/>
      <c r="B842" s="38"/>
      <c r="C842" s="38"/>
      <c r="D842" s="38"/>
      <c r="E842" s="38"/>
      <c r="F842" s="49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</row>
    <row r="843" spans="1:21">
      <c r="A843" s="38"/>
      <c r="B843" s="38"/>
      <c r="C843" s="38"/>
      <c r="D843" s="38"/>
      <c r="E843" s="38"/>
      <c r="F843" s="49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</row>
    <row r="844" spans="1:21">
      <c r="A844" s="38"/>
      <c r="B844" s="38"/>
      <c r="C844" s="38"/>
      <c r="D844" s="38"/>
      <c r="E844" s="38"/>
      <c r="F844" s="49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</row>
    <row r="845" spans="1:21">
      <c r="A845" s="38"/>
      <c r="B845" s="38"/>
      <c r="C845" s="38"/>
      <c r="D845" s="38"/>
      <c r="E845" s="38"/>
      <c r="F845" s="49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</row>
    <row r="846" spans="1:21">
      <c r="A846" s="38"/>
      <c r="B846" s="38"/>
      <c r="C846" s="38"/>
      <c r="D846" s="38"/>
      <c r="E846" s="38"/>
      <c r="F846" s="49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</row>
    <row r="847" spans="1:21">
      <c r="A847" s="38"/>
      <c r="B847" s="38"/>
      <c r="C847" s="38"/>
      <c r="D847" s="38"/>
      <c r="E847" s="38"/>
      <c r="F847" s="49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</row>
    <row r="848" spans="1:21">
      <c r="A848" s="38"/>
      <c r="B848" s="38"/>
      <c r="C848" s="38"/>
      <c r="D848" s="38"/>
      <c r="E848" s="38"/>
      <c r="F848" s="49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</row>
    <row r="849" spans="1:21">
      <c r="A849" s="38"/>
      <c r="B849" s="38"/>
      <c r="C849" s="38"/>
      <c r="D849" s="38"/>
      <c r="E849" s="38"/>
      <c r="F849" s="49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</row>
    <row r="850" spans="1:21">
      <c r="A850" s="38"/>
      <c r="B850" s="38"/>
      <c r="C850" s="38"/>
      <c r="D850" s="38"/>
      <c r="E850" s="38"/>
      <c r="F850" s="49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</row>
    <row r="851" spans="1:21">
      <c r="A851" s="38"/>
      <c r="B851" s="38"/>
      <c r="C851" s="38"/>
      <c r="D851" s="38"/>
      <c r="E851" s="38"/>
      <c r="F851" s="49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</row>
    <row r="852" spans="1:21">
      <c r="A852" s="38"/>
      <c r="B852" s="38"/>
      <c r="C852" s="38"/>
      <c r="D852" s="38"/>
      <c r="E852" s="38"/>
      <c r="F852" s="49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</row>
    <row r="853" spans="1:21">
      <c r="A853" s="38"/>
      <c r="B853" s="38"/>
      <c r="C853" s="38"/>
      <c r="D853" s="38"/>
      <c r="E853" s="38"/>
      <c r="F853" s="49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</row>
    <row r="854" spans="1:21">
      <c r="A854" s="38"/>
      <c r="B854" s="38"/>
      <c r="C854" s="38"/>
      <c r="D854" s="38"/>
      <c r="E854" s="38"/>
      <c r="F854" s="49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</row>
    <row r="855" spans="1:21">
      <c r="A855" s="38"/>
      <c r="B855" s="38"/>
      <c r="C855" s="38"/>
      <c r="D855" s="38"/>
      <c r="E855" s="38"/>
      <c r="F855" s="49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</row>
    <row r="856" spans="1:21">
      <c r="A856" s="38"/>
      <c r="B856" s="38"/>
      <c r="C856" s="38"/>
      <c r="D856" s="38"/>
      <c r="E856" s="38"/>
      <c r="F856" s="49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</row>
    <row r="857" spans="1:21">
      <c r="A857" s="38"/>
      <c r="B857" s="38"/>
      <c r="C857" s="38"/>
      <c r="D857" s="38"/>
      <c r="E857" s="38"/>
      <c r="F857" s="49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</row>
    <row r="858" spans="1:21">
      <c r="A858" s="38"/>
      <c r="B858" s="38"/>
      <c r="C858" s="38"/>
      <c r="D858" s="38"/>
      <c r="E858" s="38"/>
      <c r="F858" s="49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</row>
    <row r="859" spans="1:21">
      <c r="A859" s="38"/>
      <c r="B859" s="38"/>
      <c r="C859" s="38"/>
      <c r="D859" s="38"/>
      <c r="E859" s="38"/>
      <c r="F859" s="49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</row>
    <row r="860" spans="1:21">
      <c r="A860" s="38"/>
      <c r="B860" s="38"/>
      <c r="C860" s="38"/>
      <c r="D860" s="38"/>
      <c r="E860" s="38"/>
      <c r="F860" s="49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</row>
    <row r="861" spans="1:21">
      <c r="A861" s="38"/>
      <c r="B861" s="38"/>
      <c r="C861" s="38"/>
      <c r="D861" s="38"/>
      <c r="E861" s="38"/>
      <c r="F861" s="49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</row>
    <row r="862" spans="1:21">
      <c r="A862" s="38"/>
      <c r="B862" s="38"/>
      <c r="C862" s="38"/>
      <c r="D862" s="38"/>
      <c r="E862" s="38"/>
      <c r="F862" s="49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</row>
    <row r="863" spans="1:21">
      <c r="A863" s="38"/>
      <c r="B863" s="38"/>
      <c r="C863" s="38"/>
      <c r="D863" s="38"/>
      <c r="E863" s="38"/>
      <c r="F863" s="49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</row>
    <row r="864" spans="1:21">
      <c r="A864" s="38"/>
      <c r="B864" s="38"/>
      <c r="C864" s="38"/>
      <c r="D864" s="38"/>
      <c r="E864" s="38"/>
      <c r="F864" s="49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</row>
    <row r="865" spans="1:21">
      <c r="A865" s="38"/>
      <c r="B865" s="38"/>
      <c r="C865" s="38"/>
      <c r="D865" s="38"/>
      <c r="E865" s="38"/>
      <c r="F865" s="49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</row>
    <row r="866" spans="1:21">
      <c r="A866" s="38"/>
      <c r="B866" s="38"/>
      <c r="C866" s="38"/>
      <c r="D866" s="38"/>
      <c r="E866" s="38"/>
      <c r="F866" s="49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</row>
    <row r="867" spans="1:21">
      <c r="A867" s="38"/>
      <c r="B867" s="38"/>
      <c r="C867" s="38"/>
      <c r="D867" s="38"/>
      <c r="E867" s="38"/>
      <c r="F867" s="49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</row>
    <row r="868" spans="1:21">
      <c r="A868" s="38"/>
      <c r="B868" s="38"/>
      <c r="C868" s="38"/>
      <c r="D868" s="38"/>
      <c r="E868" s="38"/>
      <c r="F868" s="49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</row>
    <row r="869" spans="1:21">
      <c r="A869" s="38"/>
      <c r="B869" s="38"/>
      <c r="C869" s="38"/>
      <c r="D869" s="38"/>
      <c r="E869" s="38"/>
      <c r="F869" s="49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</row>
    <row r="870" spans="1:21">
      <c r="A870" s="38"/>
      <c r="B870" s="38"/>
      <c r="C870" s="38"/>
      <c r="D870" s="38"/>
      <c r="E870" s="38"/>
      <c r="F870" s="49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</row>
    <row r="871" spans="1:21">
      <c r="A871" s="38"/>
      <c r="B871" s="38"/>
      <c r="C871" s="38"/>
      <c r="D871" s="38"/>
      <c r="E871" s="38"/>
      <c r="F871" s="49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</row>
    <row r="872" spans="1:21">
      <c r="A872" s="38"/>
      <c r="B872" s="38"/>
      <c r="C872" s="38"/>
      <c r="D872" s="38"/>
      <c r="E872" s="38"/>
      <c r="F872" s="49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</row>
    <row r="873" spans="1:21">
      <c r="A873" s="38"/>
      <c r="B873" s="38"/>
      <c r="C873" s="38"/>
      <c r="D873" s="38"/>
      <c r="E873" s="38"/>
      <c r="F873" s="49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</row>
    <row r="874" spans="1:21">
      <c r="A874" s="38"/>
      <c r="B874" s="38"/>
      <c r="C874" s="38"/>
      <c r="D874" s="38"/>
      <c r="E874" s="38"/>
      <c r="F874" s="49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</row>
    <row r="875" spans="1:21">
      <c r="A875" s="38"/>
      <c r="B875" s="38"/>
      <c r="C875" s="38"/>
      <c r="D875" s="38"/>
      <c r="E875" s="38"/>
      <c r="F875" s="49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</row>
    <row r="876" spans="1:21">
      <c r="A876" s="38"/>
      <c r="B876" s="38"/>
      <c r="C876" s="38"/>
      <c r="D876" s="38"/>
      <c r="E876" s="38"/>
      <c r="F876" s="49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</row>
    <row r="877" spans="1:21">
      <c r="A877" s="38"/>
      <c r="B877" s="38"/>
      <c r="C877" s="38"/>
      <c r="D877" s="38"/>
      <c r="E877" s="38"/>
      <c r="F877" s="49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</row>
    <row r="878" spans="1:21">
      <c r="A878" s="38"/>
      <c r="B878" s="38"/>
      <c r="C878" s="38"/>
      <c r="D878" s="38"/>
      <c r="E878" s="38"/>
      <c r="F878" s="49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</row>
    <row r="879" spans="1:21">
      <c r="A879" s="38"/>
      <c r="B879" s="38"/>
      <c r="C879" s="38"/>
      <c r="D879" s="38"/>
      <c r="E879" s="38"/>
      <c r="F879" s="49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</row>
    <row r="880" spans="1:21">
      <c r="A880" s="38"/>
      <c r="B880" s="38"/>
      <c r="C880" s="38"/>
      <c r="D880" s="38"/>
      <c r="E880" s="38"/>
      <c r="F880" s="49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</row>
    <row r="881" spans="1:21">
      <c r="A881" s="38"/>
      <c r="B881" s="38"/>
      <c r="C881" s="38"/>
      <c r="D881" s="38"/>
      <c r="E881" s="38"/>
      <c r="F881" s="49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</row>
    <row r="882" spans="1:21">
      <c r="A882" s="38"/>
      <c r="B882" s="38"/>
      <c r="C882" s="38"/>
      <c r="D882" s="38"/>
      <c r="E882" s="38"/>
      <c r="F882" s="49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</row>
    <row r="883" spans="1:21">
      <c r="A883" s="38"/>
      <c r="B883" s="38"/>
      <c r="C883" s="38"/>
      <c r="D883" s="38"/>
      <c r="E883" s="38"/>
      <c r="F883" s="49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</row>
    <row r="884" spans="1:21">
      <c r="A884" s="38"/>
      <c r="B884" s="38"/>
      <c r="C884" s="38"/>
      <c r="D884" s="38"/>
      <c r="E884" s="38"/>
      <c r="F884" s="49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</row>
    <row r="885" spans="1:21">
      <c r="A885" s="38"/>
      <c r="B885" s="38"/>
      <c r="C885" s="38"/>
      <c r="D885" s="38"/>
      <c r="E885" s="38"/>
      <c r="F885" s="49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</row>
    <row r="886" spans="1:21">
      <c r="A886" s="38"/>
      <c r="B886" s="38"/>
      <c r="C886" s="38"/>
      <c r="D886" s="38"/>
      <c r="E886" s="38"/>
      <c r="F886" s="49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</row>
    <row r="887" spans="1:21">
      <c r="A887" s="38"/>
      <c r="B887" s="38"/>
      <c r="C887" s="38"/>
      <c r="D887" s="38"/>
      <c r="E887" s="38"/>
      <c r="F887" s="49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</row>
    <row r="888" spans="1:21">
      <c r="A888" s="38"/>
      <c r="B888" s="38"/>
      <c r="C888" s="38"/>
      <c r="D888" s="38"/>
      <c r="E888" s="38"/>
      <c r="F888" s="49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</row>
    <row r="889" spans="1:21">
      <c r="A889" s="38"/>
      <c r="B889" s="38"/>
      <c r="C889" s="38"/>
      <c r="D889" s="38"/>
      <c r="E889" s="38"/>
      <c r="F889" s="49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</row>
    <row r="890" spans="1:21">
      <c r="A890" s="38"/>
      <c r="B890" s="38"/>
      <c r="C890" s="38"/>
      <c r="D890" s="38"/>
      <c r="E890" s="38"/>
      <c r="F890" s="49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</row>
    <row r="891" spans="1:21">
      <c r="A891" s="38"/>
      <c r="B891" s="38"/>
      <c r="C891" s="38"/>
      <c r="D891" s="38"/>
      <c r="E891" s="38"/>
      <c r="F891" s="49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</row>
    <row r="892" spans="1:21">
      <c r="A892" s="38"/>
      <c r="B892" s="38"/>
      <c r="C892" s="38"/>
      <c r="D892" s="38"/>
      <c r="E892" s="38"/>
      <c r="F892" s="49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</row>
    <row r="893" spans="1:21">
      <c r="A893" s="38"/>
      <c r="B893" s="38"/>
      <c r="C893" s="38"/>
      <c r="D893" s="38"/>
      <c r="E893" s="38"/>
      <c r="F893" s="49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</row>
    <row r="894" spans="1:21">
      <c r="A894" s="38"/>
      <c r="B894" s="38"/>
      <c r="C894" s="38"/>
      <c r="D894" s="38"/>
      <c r="E894" s="38"/>
      <c r="F894" s="49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</row>
    <row r="895" spans="1:21">
      <c r="A895" s="38"/>
      <c r="B895" s="38"/>
      <c r="C895" s="38"/>
      <c r="D895" s="38"/>
      <c r="E895" s="38"/>
      <c r="F895" s="49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</row>
    <row r="896" spans="1:21">
      <c r="A896" s="38"/>
      <c r="B896" s="38"/>
      <c r="C896" s="38"/>
      <c r="D896" s="38"/>
      <c r="E896" s="38"/>
      <c r="F896" s="49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</row>
    <row r="897" spans="1:21">
      <c r="A897" s="38"/>
      <c r="B897" s="38"/>
      <c r="C897" s="38"/>
      <c r="D897" s="38"/>
      <c r="E897" s="38"/>
      <c r="F897" s="49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</row>
    <row r="898" spans="1:21">
      <c r="A898" s="38"/>
      <c r="B898" s="38"/>
      <c r="C898" s="38"/>
      <c r="D898" s="38"/>
      <c r="E898" s="38"/>
      <c r="F898" s="49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</row>
    <row r="899" spans="1:21">
      <c r="A899" s="38"/>
      <c r="B899" s="38"/>
      <c r="C899" s="38"/>
      <c r="D899" s="38"/>
      <c r="E899" s="38"/>
      <c r="F899" s="49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</row>
    <row r="900" spans="1:21">
      <c r="A900" s="38"/>
      <c r="B900" s="38"/>
      <c r="C900" s="38"/>
      <c r="D900" s="38"/>
      <c r="E900" s="38"/>
      <c r="F900" s="49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</row>
    <row r="901" spans="1:21">
      <c r="A901" s="38"/>
      <c r="B901" s="38"/>
      <c r="C901" s="38"/>
      <c r="D901" s="38"/>
      <c r="E901" s="38"/>
      <c r="F901" s="49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</row>
    <row r="902" spans="1:21">
      <c r="A902" s="38"/>
      <c r="B902" s="38"/>
      <c r="C902" s="38"/>
      <c r="D902" s="38"/>
      <c r="E902" s="38"/>
      <c r="F902" s="49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</row>
    <row r="903" spans="1:21">
      <c r="A903" s="38"/>
      <c r="B903" s="38"/>
      <c r="C903" s="38"/>
      <c r="D903" s="38"/>
      <c r="E903" s="38"/>
      <c r="F903" s="49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</row>
    <row r="904" spans="1:21">
      <c r="A904" s="38"/>
      <c r="B904" s="38"/>
      <c r="C904" s="38"/>
      <c r="D904" s="38"/>
      <c r="E904" s="38"/>
      <c r="F904" s="49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</row>
    <row r="905" spans="1:21">
      <c r="A905" s="38"/>
      <c r="B905" s="38"/>
      <c r="C905" s="38"/>
      <c r="D905" s="38"/>
      <c r="E905" s="38"/>
      <c r="F905" s="49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</row>
    <row r="906" spans="1:21">
      <c r="A906" s="38"/>
      <c r="B906" s="38"/>
      <c r="C906" s="38"/>
      <c r="D906" s="38"/>
      <c r="E906" s="38"/>
      <c r="F906" s="49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</row>
    <row r="907" spans="1:21">
      <c r="A907" s="38"/>
      <c r="B907" s="38"/>
      <c r="C907" s="38"/>
      <c r="D907" s="38"/>
      <c r="E907" s="38"/>
      <c r="F907" s="49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</row>
    <row r="908" spans="1:21">
      <c r="A908" s="38"/>
      <c r="B908" s="38"/>
      <c r="C908" s="38"/>
      <c r="D908" s="38"/>
      <c r="E908" s="38"/>
      <c r="F908" s="49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</row>
    <row r="909" spans="1:21">
      <c r="A909" s="38"/>
      <c r="B909" s="38"/>
      <c r="C909" s="38"/>
      <c r="D909" s="38"/>
      <c r="E909" s="38"/>
      <c r="F909" s="49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</row>
    <row r="910" spans="1:21">
      <c r="A910" s="38"/>
      <c r="B910" s="38"/>
      <c r="C910" s="38"/>
      <c r="D910" s="38"/>
      <c r="E910" s="38"/>
      <c r="F910" s="49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</row>
    <row r="911" spans="1:21">
      <c r="A911" s="38"/>
      <c r="B911" s="38"/>
      <c r="C911" s="38"/>
      <c r="D911" s="38"/>
      <c r="E911" s="38"/>
      <c r="F911" s="49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</row>
    <row r="912" spans="1:21">
      <c r="A912" s="38"/>
      <c r="B912" s="38"/>
      <c r="C912" s="38"/>
      <c r="D912" s="38"/>
      <c r="E912" s="38"/>
      <c r="F912" s="49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</row>
    <row r="913" spans="1:21">
      <c r="A913" s="38"/>
      <c r="B913" s="38"/>
      <c r="C913" s="38"/>
      <c r="D913" s="38"/>
      <c r="E913" s="38"/>
      <c r="F913" s="49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</row>
    <row r="914" spans="1:21">
      <c r="A914" s="38"/>
      <c r="B914" s="38"/>
      <c r="C914" s="38"/>
      <c r="D914" s="38"/>
      <c r="E914" s="38"/>
      <c r="F914" s="49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</row>
    <row r="915" spans="1:21">
      <c r="A915" s="38"/>
      <c r="B915" s="38"/>
      <c r="C915" s="38"/>
      <c r="D915" s="38"/>
      <c r="E915" s="38"/>
      <c r="F915" s="49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</row>
    <row r="916" spans="1:21">
      <c r="A916" s="38"/>
      <c r="B916" s="38"/>
      <c r="C916" s="38"/>
      <c r="D916" s="38"/>
      <c r="E916" s="38"/>
      <c r="F916" s="49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</row>
    <row r="917" spans="1:21">
      <c r="A917" s="38"/>
      <c r="B917" s="38"/>
      <c r="C917" s="38"/>
      <c r="D917" s="38"/>
      <c r="E917" s="38"/>
      <c r="F917" s="49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</row>
    <row r="918" spans="1:21">
      <c r="A918" s="38"/>
      <c r="B918" s="38"/>
      <c r="C918" s="38"/>
      <c r="D918" s="38"/>
      <c r="E918" s="38"/>
      <c r="F918" s="49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</row>
    <row r="919" spans="1:21">
      <c r="A919" s="38"/>
      <c r="B919" s="38"/>
      <c r="C919" s="38"/>
      <c r="D919" s="38"/>
      <c r="E919" s="38"/>
      <c r="F919" s="49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</row>
    <row r="920" spans="1:21">
      <c r="A920" s="38"/>
      <c r="B920" s="38"/>
      <c r="C920" s="38"/>
      <c r="D920" s="38"/>
      <c r="E920" s="38"/>
      <c r="F920" s="49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</row>
    <row r="921" spans="1:21">
      <c r="A921" s="38"/>
      <c r="B921" s="38"/>
      <c r="C921" s="38"/>
      <c r="D921" s="38"/>
      <c r="E921" s="38"/>
      <c r="F921" s="49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</row>
    <row r="922" spans="1:21">
      <c r="A922" s="38"/>
      <c r="B922" s="38"/>
      <c r="C922" s="38"/>
      <c r="D922" s="38"/>
      <c r="E922" s="38"/>
      <c r="F922" s="49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</row>
    <row r="923" spans="1:21">
      <c r="A923" s="38"/>
      <c r="B923" s="38"/>
      <c r="C923" s="38"/>
      <c r="D923" s="38"/>
      <c r="E923" s="38"/>
      <c r="F923" s="49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</row>
    <row r="924" spans="1:21">
      <c r="A924" s="38"/>
      <c r="B924" s="38"/>
      <c r="C924" s="38"/>
      <c r="D924" s="38"/>
      <c r="E924" s="38"/>
      <c r="F924" s="49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</row>
    <row r="925" spans="1:21">
      <c r="A925" s="38"/>
      <c r="B925" s="38"/>
      <c r="C925" s="38"/>
      <c r="D925" s="38"/>
      <c r="E925" s="38"/>
      <c r="F925" s="49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</row>
    <row r="926" spans="1:21">
      <c r="A926" s="38"/>
      <c r="B926" s="38"/>
      <c r="C926" s="38"/>
      <c r="D926" s="38"/>
      <c r="E926" s="38"/>
      <c r="F926" s="49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</row>
    <row r="927" spans="1:21">
      <c r="A927" s="38"/>
      <c r="B927" s="38"/>
      <c r="C927" s="38"/>
      <c r="D927" s="38"/>
      <c r="E927" s="38"/>
      <c r="F927" s="49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</row>
    <row r="928" spans="1:21">
      <c r="A928" s="38"/>
      <c r="B928" s="38"/>
      <c r="C928" s="38"/>
      <c r="D928" s="38"/>
      <c r="E928" s="38"/>
      <c r="F928" s="49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</row>
    <row r="929" spans="1:21">
      <c r="A929" s="38"/>
      <c r="B929" s="38"/>
      <c r="C929" s="38"/>
      <c r="D929" s="38"/>
      <c r="E929" s="38"/>
      <c r="F929" s="49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</row>
    <row r="930" spans="1:21">
      <c r="A930" s="38"/>
      <c r="B930" s="38"/>
      <c r="C930" s="38"/>
      <c r="D930" s="38"/>
      <c r="E930" s="38"/>
      <c r="F930" s="49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</row>
    <row r="931" spans="1:21">
      <c r="A931" s="38"/>
      <c r="B931" s="38"/>
      <c r="C931" s="38"/>
      <c r="D931" s="38"/>
      <c r="E931" s="38"/>
      <c r="F931" s="49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</row>
    <row r="932" spans="1:21">
      <c r="A932" s="38"/>
      <c r="B932" s="38"/>
      <c r="C932" s="38"/>
      <c r="D932" s="38"/>
      <c r="E932" s="38"/>
      <c r="F932" s="49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</row>
    <row r="933" spans="1:21">
      <c r="A933" s="38"/>
      <c r="B933" s="38"/>
      <c r="C933" s="38"/>
      <c r="D933" s="38"/>
      <c r="E933" s="38"/>
      <c r="F933" s="49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</row>
    <row r="934" spans="1:21">
      <c r="A934" s="38"/>
      <c r="B934" s="38"/>
      <c r="C934" s="38"/>
      <c r="D934" s="38"/>
      <c r="E934" s="38"/>
      <c r="F934" s="49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</row>
    <row r="935" spans="1:21">
      <c r="A935" s="38"/>
      <c r="B935" s="38"/>
      <c r="C935" s="38"/>
      <c r="D935" s="38"/>
      <c r="E935" s="38"/>
      <c r="F935" s="49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</row>
    <row r="936" spans="1:21">
      <c r="A936" s="38"/>
      <c r="B936" s="38"/>
      <c r="C936" s="38"/>
      <c r="D936" s="38"/>
      <c r="E936" s="38"/>
      <c r="F936" s="49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</row>
    <row r="937" spans="1:21">
      <c r="A937" s="38"/>
      <c r="B937" s="38"/>
      <c r="C937" s="38"/>
      <c r="D937" s="38"/>
      <c r="E937" s="38"/>
      <c r="F937" s="49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</row>
    <row r="938" spans="1:21">
      <c r="A938" s="38"/>
      <c r="B938" s="38"/>
      <c r="C938" s="38"/>
      <c r="D938" s="38"/>
      <c r="E938" s="38"/>
      <c r="F938" s="49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</row>
    <row r="939" spans="1:21">
      <c r="A939" s="38"/>
      <c r="B939" s="38"/>
      <c r="C939" s="38"/>
      <c r="D939" s="38"/>
      <c r="E939" s="38"/>
      <c r="F939" s="49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</row>
    <row r="940" spans="1:21">
      <c r="A940" s="38"/>
      <c r="B940" s="38"/>
      <c r="C940" s="38"/>
      <c r="D940" s="38"/>
      <c r="E940" s="38"/>
      <c r="F940" s="49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</row>
    <row r="941" spans="1:21">
      <c r="A941" s="38"/>
      <c r="B941" s="38"/>
      <c r="C941" s="38"/>
      <c r="D941" s="38"/>
      <c r="E941" s="38"/>
      <c r="F941" s="49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</row>
    <row r="942" spans="1:21">
      <c r="A942" s="38"/>
      <c r="B942" s="38"/>
      <c r="C942" s="38"/>
      <c r="D942" s="38"/>
      <c r="E942" s="38"/>
      <c r="F942" s="49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</row>
    <row r="943" spans="1:21">
      <c r="A943" s="38"/>
      <c r="B943" s="38"/>
      <c r="C943" s="38"/>
      <c r="D943" s="38"/>
      <c r="E943" s="38"/>
      <c r="F943" s="49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</row>
    <row r="944" spans="1:21">
      <c r="A944" s="38"/>
      <c r="B944" s="38"/>
      <c r="C944" s="38"/>
      <c r="D944" s="38"/>
      <c r="E944" s="38"/>
      <c r="F944" s="49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</row>
    <row r="945" spans="1:21">
      <c r="A945" s="38"/>
      <c r="B945" s="38"/>
      <c r="C945" s="38"/>
      <c r="D945" s="38"/>
      <c r="E945" s="38"/>
      <c r="F945" s="49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</row>
    <row r="946" spans="1:21">
      <c r="A946" s="38"/>
      <c r="B946" s="38"/>
      <c r="C946" s="38"/>
      <c r="D946" s="38"/>
      <c r="E946" s="38"/>
      <c r="F946" s="49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</row>
    <row r="947" spans="1:21">
      <c r="A947" s="38"/>
      <c r="B947" s="38"/>
      <c r="C947" s="38"/>
      <c r="D947" s="38"/>
      <c r="E947" s="38"/>
      <c r="F947" s="49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</row>
    <row r="948" spans="1:21">
      <c r="A948" s="38"/>
      <c r="B948" s="38"/>
      <c r="C948" s="38"/>
      <c r="D948" s="38"/>
      <c r="E948" s="38"/>
      <c r="F948" s="49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</row>
    <row r="949" spans="1:21">
      <c r="A949" s="38"/>
      <c r="B949" s="38"/>
      <c r="C949" s="38"/>
      <c r="D949" s="38"/>
      <c r="E949" s="38"/>
      <c r="F949" s="49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</row>
    <row r="950" spans="1:21">
      <c r="A950" s="38"/>
      <c r="B950" s="38"/>
      <c r="C950" s="38"/>
      <c r="D950" s="38"/>
      <c r="E950" s="38"/>
      <c r="F950" s="49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</row>
    <row r="951" spans="1:21">
      <c r="A951" s="38"/>
      <c r="B951" s="38"/>
      <c r="C951" s="38"/>
      <c r="D951" s="38"/>
      <c r="E951" s="38"/>
      <c r="F951" s="49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</row>
    <row r="952" spans="1:21">
      <c r="A952" s="38"/>
      <c r="B952" s="38"/>
      <c r="C952" s="38"/>
      <c r="D952" s="38"/>
      <c r="E952" s="38"/>
      <c r="F952" s="49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</row>
    <row r="953" spans="1:21">
      <c r="A953" s="38"/>
      <c r="B953" s="38"/>
      <c r="C953" s="38"/>
      <c r="D953" s="38"/>
      <c r="E953" s="38"/>
      <c r="F953" s="49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</row>
    <row r="954" spans="1:21">
      <c r="A954" s="38"/>
      <c r="B954" s="38"/>
      <c r="C954" s="38"/>
      <c r="D954" s="38"/>
      <c r="E954" s="38"/>
      <c r="F954" s="49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</row>
    <row r="955" spans="1:21">
      <c r="A955" s="38"/>
      <c r="B955" s="38"/>
      <c r="C955" s="38"/>
      <c r="D955" s="38"/>
      <c r="E955" s="38"/>
      <c r="F955" s="49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</row>
    <row r="956" spans="1:21">
      <c r="A956" s="38"/>
      <c r="B956" s="38"/>
      <c r="C956" s="38"/>
      <c r="D956" s="38"/>
      <c r="E956" s="38"/>
      <c r="F956" s="49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</row>
    <row r="957" spans="1:21">
      <c r="A957" s="38"/>
      <c r="B957" s="38"/>
      <c r="C957" s="38"/>
      <c r="D957" s="38"/>
      <c r="E957" s="38"/>
      <c r="F957" s="49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</row>
    <row r="958" spans="1:21">
      <c r="A958" s="38"/>
      <c r="B958" s="38"/>
      <c r="C958" s="38"/>
      <c r="D958" s="38"/>
      <c r="E958" s="38"/>
      <c r="F958" s="49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</row>
    <row r="959" spans="1:21">
      <c r="A959" s="38"/>
      <c r="B959" s="38"/>
      <c r="C959" s="38"/>
      <c r="D959" s="38"/>
      <c r="E959" s="38"/>
      <c r="F959" s="49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</row>
    <row r="960" spans="1:21">
      <c r="A960" s="38"/>
      <c r="B960" s="38"/>
      <c r="C960" s="38"/>
      <c r="D960" s="38"/>
      <c r="E960" s="38"/>
      <c r="F960" s="49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</row>
    <row r="961" spans="1:21">
      <c r="A961" s="38"/>
      <c r="B961" s="38"/>
      <c r="C961" s="38"/>
      <c r="D961" s="38"/>
      <c r="E961" s="38"/>
      <c r="F961" s="49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</row>
    <row r="962" spans="1:21">
      <c r="A962" s="38"/>
      <c r="B962" s="38"/>
      <c r="C962" s="38"/>
      <c r="D962" s="38"/>
      <c r="E962" s="38"/>
      <c r="F962" s="49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</row>
    <row r="963" spans="1:21">
      <c r="A963" s="38"/>
      <c r="B963" s="38"/>
      <c r="C963" s="38"/>
      <c r="D963" s="38"/>
      <c r="E963" s="38"/>
      <c r="F963" s="49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</row>
    <row r="964" spans="1:21">
      <c r="A964" s="38"/>
      <c r="B964" s="38"/>
      <c r="C964" s="38"/>
      <c r="D964" s="38"/>
      <c r="E964" s="38"/>
      <c r="F964" s="49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</row>
    <row r="965" spans="1:21">
      <c r="A965" s="38"/>
      <c r="B965" s="38"/>
      <c r="C965" s="38"/>
      <c r="D965" s="38"/>
      <c r="E965" s="38"/>
      <c r="F965" s="49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</row>
    <row r="966" spans="1:21">
      <c r="A966" s="38"/>
      <c r="B966" s="38"/>
      <c r="C966" s="38"/>
      <c r="D966" s="38"/>
      <c r="E966" s="38"/>
      <c r="F966" s="49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</row>
    <row r="967" spans="1:21">
      <c r="A967" s="38"/>
      <c r="B967" s="38"/>
      <c r="C967" s="38"/>
      <c r="D967" s="38"/>
      <c r="E967" s="38"/>
      <c r="F967" s="49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</row>
    <row r="968" spans="1:21">
      <c r="A968" s="38"/>
      <c r="B968" s="38"/>
      <c r="C968" s="38"/>
      <c r="D968" s="38"/>
      <c r="E968" s="38"/>
      <c r="F968" s="49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</row>
    <row r="969" spans="1:21">
      <c r="A969" s="38"/>
      <c r="B969" s="38"/>
      <c r="C969" s="38"/>
      <c r="D969" s="38"/>
      <c r="E969" s="38"/>
      <c r="F969" s="49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</row>
    <row r="970" spans="1:21">
      <c r="A970" s="38"/>
      <c r="B970" s="38"/>
      <c r="C970" s="38"/>
      <c r="D970" s="38"/>
      <c r="E970" s="38"/>
      <c r="F970" s="49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</row>
    <row r="971" spans="1:21">
      <c r="A971" s="38"/>
      <c r="B971" s="38"/>
      <c r="C971" s="38"/>
      <c r="D971" s="38"/>
      <c r="E971" s="38"/>
      <c r="F971" s="49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</row>
    <row r="972" spans="1:21">
      <c r="A972" s="38"/>
      <c r="B972" s="38"/>
      <c r="C972" s="38"/>
      <c r="D972" s="38"/>
      <c r="E972" s="38"/>
      <c r="F972" s="49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</row>
    <row r="973" spans="1:21">
      <c r="A973" s="38"/>
      <c r="B973" s="38"/>
      <c r="C973" s="38"/>
      <c r="D973" s="38"/>
      <c r="E973" s="38"/>
      <c r="F973" s="49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</row>
    <row r="974" spans="1:21">
      <c r="A974" s="38"/>
      <c r="B974" s="38"/>
      <c r="C974" s="38"/>
      <c r="D974" s="38"/>
      <c r="E974" s="38"/>
      <c r="F974" s="49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</row>
    <row r="975" spans="1:21">
      <c r="A975" s="38"/>
      <c r="B975" s="38"/>
      <c r="C975" s="38"/>
      <c r="D975" s="38"/>
      <c r="E975" s="38"/>
      <c r="F975" s="49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</row>
    <row r="976" spans="1:21">
      <c r="A976" s="38"/>
      <c r="B976" s="38"/>
      <c r="C976" s="38"/>
      <c r="D976" s="38"/>
      <c r="E976" s="38"/>
      <c r="F976" s="49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</row>
    <row r="977" spans="1:21">
      <c r="A977" s="38"/>
      <c r="B977" s="38"/>
      <c r="C977" s="38"/>
      <c r="D977" s="38"/>
      <c r="E977" s="38"/>
      <c r="F977" s="49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</row>
    <row r="978" spans="1:21">
      <c r="A978" s="38"/>
      <c r="B978" s="38"/>
      <c r="C978" s="38"/>
      <c r="D978" s="38"/>
      <c r="E978" s="38"/>
      <c r="F978" s="49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</row>
    <row r="979" spans="1:21">
      <c r="A979" s="38"/>
      <c r="B979" s="38"/>
      <c r="C979" s="38"/>
      <c r="D979" s="38"/>
      <c r="E979" s="38"/>
      <c r="F979" s="49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</row>
    <row r="980" spans="1:21">
      <c r="A980" s="38"/>
      <c r="B980" s="38"/>
      <c r="C980" s="38"/>
      <c r="D980" s="38"/>
      <c r="E980" s="38"/>
      <c r="F980" s="49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</row>
    <row r="981" spans="1:21">
      <c r="A981" s="38"/>
      <c r="B981" s="38"/>
      <c r="C981" s="38"/>
      <c r="D981" s="38"/>
      <c r="E981" s="38"/>
      <c r="F981" s="49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</row>
    <row r="982" spans="1:21">
      <c r="A982" s="38"/>
      <c r="B982" s="38"/>
      <c r="C982" s="38"/>
      <c r="D982" s="38"/>
      <c r="E982" s="38"/>
      <c r="F982" s="49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</row>
    <row r="983" spans="1:21">
      <c r="A983" s="38"/>
      <c r="B983" s="38"/>
      <c r="C983" s="38"/>
      <c r="D983" s="38"/>
      <c r="E983" s="38"/>
      <c r="F983" s="49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</row>
    <row r="984" spans="1:21">
      <c r="A984" s="38"/>
      <c r="B984" s="38"/>
      <c r="C984" s="38"/>
      <c r="D984" s="38"/>
      <c r="E984" s="38"/>
      <c r="F984" s="49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</row>
    <row r="985" spans="1:21">
      <c r="A985" s="38"/>
      <c r="B985" s="38"/>
      <c r="C985" s="38"/>
      <c r="D985" s="38"/>
      <c r="E985" s="38"/>
      <c r="F985" s="49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</row>
    <row r="986" spans="1:21">
      <c r="A986" s="38"/>
      <c r="B986" s="38"/>
      <c r="C986" s="38"/>
      <c r="D986" s="38"/>
      <c r="E986" s="38"/>
      <c r="F986" s="49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</row>
    <row r="987" spans="1:21">
      <c r="A987" s="38"/>
      <c r="B987" s="38"/>
      <c r="C987" s="38"/>
      <c r="D987" s="38"/>
      <c r="E987" s="38"/>
      <c r="F987" s="49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</row>
    <row r="988" spans="1:21">
      <c r="A988" s="38"/>
      <c r="B988" s="38"/>
      <c r="C988" s="38"/>
      <c r="D988" s="38"/>
      <c r="E988" s="38"/>
      <c r="F988" s="49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</row>
    <row r="989" spans="1:21">
      <c r="A989" s="38"/>
      <c r="B989" s="38"/>
      <c r="C989" s="38"/>
      <c r="D989" s="38"/>
      <c r="E989" s="38"/>
      <c r="F989" s="49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</row>
    <row r="990" spans="1:21">
      <c r="A990" s="38"/>
      <c r="B990" s="38"/>
      <c r="C990" s="38"/>
      <c r="D990" s="38"/>
      <c r="E990" s="38"/>
      <c r="F990" s="49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</row>
    <row r="991" spans="1:21">
      <c r="A991" s="38"/>
      <c r="B991" s="38"/>
      <c r="C991" s="38"/>
      <c r="D991" s="38"/>
      <c r="E991" s="38"/>
      <c r="F991" s="49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</row>
    <row r="992" spans="1:21">
      <c r="A992" s="38"/>
      <c r="B992" s="38"/>
      <c r="C992" s="38"/>
      <c r="D992" s="38"/>
      <c r="E992" s="38"/>
      <c r="F992" s="49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</row>
    <row r="993" spans="1:21">
      <c r="A993" s="38"/>
      <c r="B993" s="38"/>
      <c r="C993" s="38"/>
      <c r="D993" s="38"/>
      <c r="E993" s="38"/>
      <c r="F993" s="49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</row>
    <row r="994" spans="1:21">
      <c r="A994" s="38"/>
      <c r="B994" s="38"/>
      <c r="C994" s="38"/>
      <c r="D994" s="38"/>
      <c r="E994" s="38"/>
      <c r="F994" s="49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</row>
    <row r="995" spans="1:21">
      <c r="A995" s="38"/>
      <c r="B995" s="38"/>
      <c r="C995" s="38"/>
      <c r="D995" s="38"/>
      <c r="E995" s="38"/>
      <c r="F995" s="49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</row>
    <row r="996" spans="1:21">
      <c r="A996" s="38"/>
      <c r="B996" s="38"/>
      <c r="C996" s="38"/>
      <c r="D996" s="38"/>
      <c r="E996" s="38"/>
      <c r="F996" s="49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</row>
    <row r="997" spans="1:21">
      <c r="A997" s="38"/>
      <c r="B997" s="38"/>
      <c r="C997" s="38"/>
      <c r="D997" s="38"/>
      <c r="E997" s="38"/>
      <c r="F997" s="49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</row>
    <row r="998" spans="1:21">
      <c r="A998" s="38"/>
      <c r="B998" s="38"/>
      <c r="C998" s="38"/>
      <c r="D998" s="38"/>
      <c r="E998" s="38"/>
      <c r="F998" s="49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</row>
    <row r="999" spans="1:21">
      <c r="A999" s="38"/>
      <c r="B999" s="38"/>
      <c r="C999" s="38"/>
      <c r="D999" s="38"/>
      <c r="E999" s="38"/>
      <c r="F999" s="49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</row>
    <row r="1000" spans="1:21">
      <c r="A1000" s="38"/>
      <c r="B1000" s="38"/>
      <c r="C1000" s="38"/>
      <c r="D1000" s="38"/>
      <c r="E1000" s="38"/>
      <c r="F1000" s="49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</row>
    <row r="1001" spans="1:21">
      <c r="A1001" s="38"/>
      <c r="B1001" s="38"/>
      <c r="C1001" s="38"/>
      <c r="D1001" s="38"/>
      <c r="E1001" s="38"/>
      <c r="F1001" s="49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</row>
    <row r="1002" spans="1:21">
      <c r="A1002" s="38"/>
      <c r="B1002" s="38"/>
      <c r="C1002" s="38"/>
      <c r="D1002" s="38"/>
      <c r="E1002" s="38"/>
      <c r="F1002" s="49"/>
      <c r="G1002" s="38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</row>
  </sheetData>
  <mergeCells count="3">
    <mergeCell ref="A1:B1"/>
    <mergeCell ref="D1:F1"/>
    <mergeCell ref="A2: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Q64"/>
  <sheetViews>
    <sheetView workbookViewId="0"/>
  </sheetViews>
  <sheetFormatPr baseColWidth="10" defaultColWidth="12.6640625" defaultRowHeight="15" customHeight="1"/>
  <cols>
    <col min="1" max="1" width="21.1640625" customWidth="1"/>
    <col min="2" max="2" width="40.6640625" customWidth="1"/>
  </cols>
  <sheetData>
    <row r="1" spans="1:17">
      <c r="A1" s="9" t="str">
        <f ca="1">IFERROR(__xludf.DUMMYFUNCTION("IMPORTRANGE(""https://docs.google.com/spreadsheets/d/1zP2iAzjgU13eMcyJKv2pLG1kjW3niorv-wMe7G66IsE"",""Wallet List!A:Z"")"),"Name")</f>
        <v>Name</v>
      </c>
      <c r="B1" s="9" t="str">
        <f ca="1">IFERROR(__xludf.DUMMYFUNCTION("""COMPUTED_VALUE"""),"Address")</f>
        <v>Address</v>
      </c>
      <c r="C1" s="9" t="str">
        <f ca="1">IFERROR(__xludf.DUMMYFUNCTION("""COMPUTED_VALUE"""),"Strategy
Native
Token")</f>
        <v>Strategy
Native
Token</v>
      </c>
      <c r="D1" s="9" t="str">
        <f ca="1">IFERROR(__xludf.DUMMYFUNCTION("""COMPUTED_VALUE"""),"Status")</f>
        <v>Status</v>
      </c>
      <c r="E1" s="9" t="str">
        <f ca="1">IFERROR(__xludf.DUMMYFUNCTION("""COMPUTED_VALUE"""),"FB Access")</f>
        <v>FB Access</v>
      </c>
      <c r="F1" s="9" t="str">
        <f ca="1">IFERROR(__xludf.DUMMYFUNCTION("""COMPUTED_VALUE"""),"Deployed")</f>
        <v>Deployed</v>
      </c>
      <c r="G1" s="9" t="str">
        <f ca="1">IFERROR(__xludf.DUMMYFUNCTION("""COMPUTED_VALUE"""),"Balance")</f>
        <v>Balance</v>
      </c>
      <c r="H1" s="9" t="str">
        <f ca="1">IFERROR(__xludf.DUMMYFUNCTION("""COMPUTED_VALUE"""),"Delta")</f>
        <v>Delta</v>
      </c>
      <c r="I1" s="9" t="str">
        <f ca="1">IFERROR(__xludf.DUMMYFUNCTION("""COMPUTED_VALUE"""),"Note &amp; Action Items")</f>
        <v>Note &amp; Action Items</v>
      </c>
      <c r="J1" s="9" t="str">
        <f ca="1">IFERROR(__xludf.DUMMYFUNCTION("""COMPUTED_VALUE"""),"API Symbol")</f>
        <v>API Symbol</v>
      </c>
      <c r="K1" s="9" t="str">
        <f ca="1">IFERROR(__xludf.DUMMYFUNCTION("""COMPUTED_VALUE"""),"BTC")</f>
        <v>BTC</v>
      </c>
      <c r="L1" s="9" t="str">
        <f ca="1">IFERROR(__xludf.DUMMYFUNCTION("""COMPUTED_VALUE"""),"ETH")</f>
        <v>ETH</v>
      </c>
      <c r="M1" s="9" t="str">
        <f ca="1">IFERROR(__xludf.DUMMYFUNCTION("""COMPUTED_VALUE"""),"LINK")</f>
        <v>LINK</v>
      </c>
      <c r="N1" s="9" t="str">
        <f ca="1">IFERROR(__xludf.DUMMYFUNCTION("""COMPUTED_VALUE"""),"LUSD Curve")</f>
        <v>LUSD Curve</v>
      </c>
      <c r="O1" s="9" t="str">
        <f ca="1">IFERROR(__xludf.DUMMYFUNCTION("""COMPUTED_VALUE"""),"BUSD")</f>
        <v>BUSD</v>
      </c>
      <c r="P1" s="9" t="str">
        <f ca="1">IFERROR(__xludf.DUMMYFUNCTION("""COMPUTED_VALUE"""),"UNI")</f>
        <v>UNI</v>
      </c>
      <c r="Q1" s="9" t="str">
        <f ca="1">IFERROR(__xludf.DUMMYFUNCTION("""COMPUTED_VALUE"""),"BAT")</f>
        <v>BAT</v>
      </c>
    </row>
    <row r="2" spans="1:17">
      <c r="A2" s="9" t="str">
        <f ca="1">IFERROR(__xludf.DUMMYFUNCTION("""COMPUTED_VALUE"""),"YD - AlphaHv2")</f>
        <v>YD - AlphaHv2</v>
      </c>
      <c r="B2" s="9" t="str">
        <f ca="1">IFERROR(__xludf.DUMMYFUNCTION("""COMPUTED_VALUE"""),"0x5670b3E44AdE4BD9D04A73fB88994E37A0d48f27")</f>
        <v>0x5670b3E44AdE4BD9D04A73fB88994E37A0d48f27</v>
      </c>
      <c r="C2" s="9" t="str">
        <f ca="1">IFERROR(__xludf.DUMMYFUNCTION("""COMPUTED_VALUE"""),"Multiple")</f>
        <v>Multiple</v>
      </c>
      <c r="D2" s="9" t="str">
        <f ca="1">IFERROR(__xludf.DUMMYFUNCTION("""COMPUTED_VALUE"""),"Live")</f>
        <v>Live</v>
      </c>
      <c r="E2" s="9" t="b">
        <f ca="1">IFERROR(__xludf.DUMMYFUNCTION("""COMPUTED_VALUE"""),TRUE)</f>
        <v>1</v>
      </c>
      <c r="F2" s="50">
        <f ca="1">IFERROR(__xludf.DUMMYFUNCTION("""COMPUTED_VALUE"""),0)</f>
        <v>0</v>
      </c>
      <c r="G2" s="50">
        <f ca="1">IFERROR(__xludf.DUMMYFUNCTION("""COMPUTED_VALUE"""),269665.194946898)</f>
        <v>269665.19494689797</v>
      </c>
      <c r="H2" s="50">
        <f ca="1">IFERROR(__xludf.DUMMYFUNCTION("""COMPUTED_VALUE"""),269665.194946898)</f>
        <v>269665.19494689797</v>
      </c>
      <c r="I2" s="9"/>
      <c r="J2" s="9"/>
      <c r="K2" s="9"/>
      <c r="L2" s="30">
        <f ca="1">IFERROR(__xludf.DUMMYFUNCTION("""COMPUTED_VALUE"""),0.014)</f>
        <v>1.4E-2</v>
      </c>
      <c r="M2" s="30">
        <f ca="1">IFERROR(__xludf.DUMMYFUNCTION("""COMPUTED_VALUE"""),0.002)</f>
        <v>2E-3</v>
      </c>
      <c r="N2" s="9"/>
      <c r="O2" s="9"/>
      <c r="P2" s="9"/>
      <c r="Q2" s="9"/>
    </row>
    <row r="3" spans="1:17">
      <c r="A3" s="9" t="str">
        <f ca="1">IFERROR(__xludf.DUMMYFUNCTION("""COMPUTED_VALUE"""),"YD - AlphaHv2 - ibETHv2")</f>
        <v>YD - AlphaHv2 - ibETHv2</v>
      </c>
      <c r="B3" s="9" t="str">
        <f ca="1">IFERROR(__xludf.DUMMYFUNCTION("""COMPUTED_VALUE"""),"0x210A3D989f60184b8B59C844Ed0e0D661A783170")</f>
        <v>0x210A3D989f60184b8B59C844Ed0e0D661A783170</v>
      </c>
      <c r="C3" s="9" t="str">
        <f ca="1">IFERROR(__xludf.DUMMYFUNCTION("""COMPUTED_VALUE"""),"ETH")</f>
        <v>ETH</v>
      </c>
      <c r="D3" s="9" t="str">
        <f ca="1">IFERROR(__xludf.DUMMYFUNCTION("""COMPUTED_VALUE"""),"Archived")</f>
        <v>Archived</v>
      </c>
      <c r="E3" s="9" t="b">
        <f ca="1">IFERROR(__xludf.DUMMYFUNCTION("""COMPUTED_VALUE"""),TRUE)</f>
        <v>1</v>
      </c>
      <c r="F3" s="50">
        <f ca="1">IFERROR(__xludf.DUMMYFUNCTION("""COMPUTED_VALUE"""),0)</f>
        <v>0</v>
      </c>
      <c r="G3" s="50">
        <f ca="1">IFERROR(__xludf.DUMMYFUNCTION("""COMPUTED_VALUE"""),0)</f>
        <v>0</v>
      </c>
      <c r="H3" s="50">
        <f ca="1">IFERROR(__xludf.DUMMYFUNCTION("""COMPUTED_VALUE"""),0)</f>
        <v>0</v>
      </c>
      <c r="I3" s="9" t="str">
        <f ca="1">IFERROR(__xludf.DUMMYFUNCTION("""COMPUTED_VALUE"""),"Migrated to YD - AlphaHv2")</f>
        <v>Migrated to YD - AlphaHv2</v>
      </c>
      <c r="J3" s="9"/>
      <c r="K3" s="9"/>
      <c r="L3" s="9"/>
      <c r="M3" s="9"/>
      <c r="N3" s="9"/>
      <c r="O3" s="9"/>
      <c r="P3" s="9"/>
      <c r="Q3" s="9"/>
    </row>
    <row r="4" spans="1:17">
      <c r="A4" s="9" t="str">
        <f ca="1">IFERROR(__xludf.DUMMYFUNCTION("""COMPUTED_VALUE"""),"YD - AlphaHv2 - ibUSDCv2")</f>
        <v>YD - AlphaHv2 - ibUSDCv2</v>
      </c>
      <c r="B4" s="9" t="str">
        <f ca="1">IFERROR(__xludf.DUMMYFUNCTION("""COMPUTED_VALUE"""),"0x01182e33E2156b59Fc7515b03251DE8fc4a6772c")</f>
        <v>0x01182e33E2156b59Fc7515b03251DE8fc4a6772c</v>
      </c>
      <c r="C4" s="9" t="str">
        <f ca="1">IFERROR(__xludf.DUMMYFUNCTION("""COMPUTED_VALUE"""),"USDC")</f>
        <v>USDC</v>
      </c>
      <c r="D4" s="9" t="str">
        <f ca="1">IFERROR(__xludf.DUMMYFUNCTION("""COMPUTED_VALUE"""),"Archived")</f>
        <v>Archived</v>
      </c>
      <c r="E4" s="9" t="b">
        <f ca="1">IFERROR(__xludf.DUMMYFUNCTION("""COMPUTED_VALUE"""),TRUE)</f>
        <v>1</v>
      </c>
      <c r="F4" s="50">
        <f ca="1">IFERROR(__xludf.DUMMYFUNCTION("""COMPUTED_VALUE"""),0)</f>
        <v>0</v>
      </c>
      <c r="G4" s="50">
        <f ca="1">IFERROR(__xludf.DUMMYFUNCTION("""COMPUTED_VALUE"""),0)</f>
        <v>0</v>
      </c>
      <c r="H4" s="50">
        <f ca="1">IFERROR(__xludf.DUMMYFUNCTION("""COMPUTED_VALUE"""),0)</f>
        <v>0</v>
      </c>
      <c r="I4" s="9" t="str">
        <f ca="1">IFERROR(__xludf.DUMMYFUNCTION("""COMPUTED_VALUE"""),"Migrated to YD - AlphaHv2")</f>
        <v>Migrated to YD - AlphaHv2</v>
      </c>
      <c r="J4" s="9"/>
      <c r="K4" s="9"/>
      <c r="L4" s="9"/>
      <c r="M4" s="9"/>
      <c r="N4" s="9"/>
      <c r="O4" s="9"/>
      <c r="P4" s="9"/>
      <c r="Q4" s="9"/>
    </row>
    <row r="5" spans="1:17">
      <c r="A5" s="9" t="str">
        <f ca="1">IFERROR(__xludf.DUMMYFUNCTION("""COMPUTED_VALUE"""),"YD - BADGER - byvWBTC")</f>
        <v>YD - BADGER - byvWBTC</v>
      </c>
      <c r="B5" s="9" t="str">
        <f ca="1">IFERROR(__xludf.DUMMYFUNCTION("""COMPUTED_VALUE"""),"0xAF074a103D06c4D194E6F5371CA660CAF992c910")</f>
        <v>0xAF074a103D06c4D194E6F5371CA660CAF992c910</v>
      </c>
      <c r="C5" s="9" t="str">
        <f ca="1">IFERROR(__xludf.DUMMYFUNCTION("""COMPUTED_VALUE"""),"BTC")</f>
        <v>BTC</v>
      </c>
      <c r="D5" s="9" t="str">
        <f ca="1">IFERROR(__xludf.DUMMYFUNCTION("""COMPUTED_VALUE"""),"Migrated")</f>
        <v>Migrated</v>
      </c>
      <c r="E5" s="9" t="b">
        <f ca="1">IFERROR(__xludf.DUMMYFUNCTION("""COMPUTED_VALUE"""),TRUE)</f>
        <v>1</v>
      </c>
      <c r="F5" s="50">
        <f ca="1">IFERROR(__xludf.DUMMYFUNCTION("""COMPUTED_VALUE"""),0)</f>
        <v>0</v>
      </c>
      <c r="G5" s="50">
        <f ca="1">IFERROR(__xludf.DUMMYFUNCTION("""COMPUTED_VALUE"""),2391.94537751739)</f>
        <v>2391.9453775173902</v>
      </c>
      <c r="H5" s="50">
        <f ca="1">IFERROR(__xludf.DUMMYFUNCTION("""COMPUTED_VALUE"""),2391.94537751739)</f>
        <v>2391.9453775173902</v>
      </c>
      <c r="I5" s="9" t="str">
        <f ca="1">IFERROR(__xludf.DUMMYFUNCTION("""COMPUTED_VALUE"""),"$4k BADGER claimable, Migrated to
Yield Desk - Badger")</f>
        <v>$4k BADGER claimable, Migrated to
Yield Desk - Badger</v>
      </c>
      <c r="J5" s="9"/>
      <c r="K5" s="9"/>
      <c r="L5" s="9"/>
      <c r="M5" s="9"/>
      <c r="N5" s="9"/>
      <c r="O5" s="9"/>
      <c r="P5" s="9"/>
      <c r="Q5" s="9"/>
    </row>
    <row r="6" spans="1:17">
      <c r="A6" s="9" t="str">
        <f ca="1">IFERROR(__xludf.DUMMYFUNCTION("""COMPUTED_VALUE"""),"YD - BADGER - DIGG_WBTC")</f>
        <v>YD - BADGER - DIGG_WBTC</v>
      </c>
      <c r="B6" s="9" t="str">
        <f ca="1">IFERROR(__xludf.DUMMYFUNCTION("""COMPUTED_VALUE"""),"0x3975C876165E2b337F5Fdf5e0De158512e2cB8b9")</f>
        <v>0x3975C876165E2b337F5Fdf5e0De158512e2cB8b9</v>
      </c>
      <c r="C6" s="9" t="str">
        <f ca="1">IFERROR(__xludf.DUMMYFUNCTION("""COMPUTED_VALUE"""),"BTC")</f>
        <v>BTC</v>
      </c>
      <c r="D6" s="9" t="str">
        <f ca="1">IFERROR(__xludf.DUMMYFUNCTION("""COMPUTED_VALUE"""),"Archived")</f>
        <v>Archived</v>
      </c>
      <c r="E6" s="9" t="b">
        <f ca="1">IFERROR(__xludf.DUMMYFUNCTION("""COMPUTED_VALUE"""),TRUE)</f>
        <v>1</v>
      </c>
      <c r="F6" s="50">
        <f ca="1">IFERROR(__xludf.DUMMYFUNCTION("""COMPUTED_VALUE"""),0)</f>
        <v>0</v>
      </c>
      <c r="G6" s="50">
        <f ca="1">IFERROR(__xludf.DUMMYFUNCTION("""COMPUTED_VALUE"""),0)</f>
        <v>0</v>
      </c>
      <c r="H6" s="50">
        <f ca="1">IFERROR(__xludf.DUMMYFUNCTION("""COMPUTED_VALUE"""),0)</f>
        <v>0</v>
      </c>
      <c r="I6" s="9"/>
      <c r="J6" s="9"/>
      <c r="K6" s="9"/>
      <c r="L6" s="9"/>
      <c r="M6" s="9"/>
      <c r="N6" s="9"/>
      <c r="O6" s="9"/>
      <c r="P6" s="9"/>
      <c r="Q6" s="9"/>
    </row>
    <row r="7" spans="1:17">
      <c r="A7" s="9" t="str">
        <f ca="1">IFERROR(__xludf.DUMMYFUNCTION("""COMPUTED_VALUE"""),"YD - BADGER - renBTCCRV")</f>
        <v>YD - BADGER - renBTCCRV</v>
      </c>
      <c r="B7" s="9" t="str">
        <f ca="1">IFERROR(__xludf.DUMMYFUNCTION("""COMPUTED_VALUE"""),"0xb3c934b6659EE18E73EaC6Cc971ee4c6BE31957b")</f>
        <v>0xb3c934b6659EE18E73EaC6Cc971ee4c6BE31957b</v>
      </c>
      <c r="C7" s="9" t="str">
        <f ca="1">IFERROR(__xludf.DUMMYFUNCTION("""COMPUTED_VALUE"""),"BTC")</f>
        <v>BTC</v>
      </c>
      <c r="D7" s="9" t="str">
        <f ca="1">IFERROR(__xludf.DUMMYFUNCTION("""COMPUTED_VALUE"""),"Archived")</f>
        <v>Archived</v>
      </c>
      <c r="E7" s="9" t="b">
        <f ca="1">IFERROR(__xludf.DUMMYFUNCTION("""COMPUTED_VALUE"""),TRUE)</f>
        <v>1</v>
      </c>
      <c r="F7" s="50">
        <f ca="1">IFERROR(__xludf.DUMMYFUNCTION("""COMPUTED_VALUE"""),0)</f>
        <v>0</v>
      </c>
      <c r="G7" s="50">
        <f ca="1">IFERROR(__xludf.DUMMYFUNCTION("""COMPUTED_VALUE"""),0)</f>
        <v>0</v>
      </c>
      <c r="H7" s="50">
        <f ca="1">IFERROR(__xludf.DUMMYFUNCTION("""COMPUTED_VALUE"""),0)</f>
        <v>0</v>
      </c>
      <c r="I7" s="9"/>
      <c r="J7" s="9"/>
      <c r="K7" s="9"/>
      <c r="L7" s="9"/>
      <c r="M7" s="9"/>
      <c r="N7" s="9"/>
      <c r="O7" s="9"/>
      <c r="P7" s="9"/>
      <c r="Q7" s="9"/>
    </row>
    <row r="8" spans="1:17">
      <c r="A8" s="9" t="str">
        <f ca="1">IFERROR(__xludf.DUMMYFUNCTION("""COMPUTED_VALUE"""),"YD - BADGER - sBTCCRV")</f>
        <v>YD - BADGER - sBTCCRV</v>
      </c>
      <c r="B8" s="9" t="str">
        <f ca="1">IFERROR(__xludf.DUMMYFUNCTION("""COMPUTED_VALUE"""),"0xf341c7147d06a74e48d34Fa92b1367Ee7cbe4271")</f>
        <v>0xf341c7147d06a74e48d34Fa92b1367Ee7cbe4271</v>
      </c>
      <c r="C8" s="9" t="str">
        <f ca="1">IFERROR(__xludf.DUMMYFUNCTION("""COMPUTED_VALUE"""),"BTC")</f>
        <v>BTC</v>
      </c>
      <c r="D8" s="9" t="str">
        <f ca="1">IFERROR(__xludf.DUMMYFUNCTION("""COMPUTED_VALUE"""),"Archived")</f>
        <v>Archived</v>
      </c>
      <c r="E8" s="9" t="b">
        <f ca="1">IFERROR(__xludf.DUMMYFUNCTION("""COMPUTED_VALUE"""),TRUE)</f>
        <v>1</v>
      </c>
      <c r="F8" s="50">
        <f ca="1">IFERROR(__xludf.DUMMYFUNCTION("""COMPUTED_VALUE"""),0)</f>
        <v>0</v>
      </c>
      <c r="G8" s="50">
        <f ca="1">IFERROR(__xludf.DUMMYFUNCTION("""COMPUTED_VALUE"""),0)</f>
        <v>0</v>
      </c>
      <c r="H8" s="50">
        <f ca="1">IFERROR(__xludf.DUMMYFUNCTION("""COMPUTED_VALUE"""),0)</f>
        <v>0</v>
      </c>
      <c r="I8" s="9"/>
      <c r="J8" s="9"/>
      <c r="K8" s="9"/>
      <c r="L8" s="9"/>
      <c r="M8" s="9"/>
      <c r="N8" s="9"/>
      <c r="O8" s="9"/>
      <c r="P8" s="9"/>
      <c r="Q8" s="9"/>
    </row>
    <row r="9" spans="1:17">
      <c r="A9" s="9" t="str">
        <f ca="1">IFERROR(__xludf.DUMMYFUNCTION("""COMPUTED_VALUE"""),"YD - Compound - WBTC")</f>
        <v>YD - Compound - WBTC</v>
      </c>
      <c r="B9" s="9" t="str">
        <f ca="1">IFERROR(__xludf.DUMMYFUNCTION("""COMPUTED_VALUE"""),"0x6C0DA3AdedBa198e06164cfaB6326ccCe1A97730")</f>
        <v>0x6C0DA3AdedBa198e06164cfaB6326ccCe1A97730</v>
      </c>
      <c r="C9" s="9" t="str">
        <f ca="1">IFERROR(__xludf.DUMMYFUNCTION("""COMPUTED_VALUE"""),"BTC")</f>
        <v>BTC</v>
      </c>
      <c r="D9" s="9" t="str">
        <f ca="1">IFERROR(__xludf.DUMMYFUNCTION("""COMPUTED_VALUE"""),"Exited")</f>
        <v>Exited</v>
      </c>
      <c r="E9" s="9" t="b">
        <f ca="1">IFERROR(__xludf.DUMMYFUNCTION("""COMPUTED_VALUE"""),TRUE)</f>
        <v>1</v>
      </c>
      <c r="F9" s="50">
        <f ca="1">IFERROR(__xludf.DUMMYFUNCTION("""COMPUTED_VALUE"""),0)</f>
        <v>0</v>
      </c>
      <c r="G9" s="50">
        <f ca="1">IFERROR(__xludf.DUMMYFUNCTION("""COMPUTED_VALUE"""),0)</f>
        <v>0</v>
      </c>
      <c r="H9" s="50">
        <f ca="1">IFERROR(__xludf.DUMMYFUNCTION("""COMPUTED_VALUE"""),0)</f>
        <v>0</v>
      </c>
      <c r="I9" s="9"/>
      <c r="J9" s="9"/>
      <c r="K9" s="9"/>
      <c r="L9" s="9"/>
      <c r="M9" s="9"/>
      <c r="N9" s="9"/>
      <c r="O9" s="9"/>
      <c r="P9" s="9"/>
      <c r="Q9" s="9"/>
    </row>
    <row r="10" spans="1:17">
      <c r="A10" s="9" t="str">
        <f ca="1">IFERROR(__xludf.DUMMYFUNCTION("""COMPUTED_VALUE"""),"YD-Badger-bBTC
")</f>
        <v xml:space="preserve">YD-Badger-bBTC
</v>
      </c>
      <c r="B10" s="9" t="str">
        <f ca="1">IFERROR(__xludf.DUMMYFUNCTION("""COMPUTED_VALUE"""),"0x433CFfFeA18b811017856e9659ada4e6B441312d")</f>
        <v>0x433CFfFeA18b811017856e9659ada4e6B441312d</v>
      </c>
      <c r="C10" s="9" t="str">
        <f ca="1">IFERROR(__xludf.DUMMYFUNCTION("""COMPUTED_VALUE"""),"BTC")</f>
        <v>BTC</v>
      </c>
      <c r="D10" s="9" t="str">
        <f ca="1">IFERROR(__xludf.DUMMYFUNCTION("""COMPUTED_VALUE"""),"Live")</f>
        <v>Live</v>
      </c>
      <c r="E10" s="9" t="b">
        <f ca="1">IFERROR(__xludf.DUMMYFUNCTION("""COMPUTED_VALUE"""),TRUE)</f>
        <v>1</v>
      </c>
      <c r="F10" s="50">
        <f ca="1">IFERROR(__xludf.DUMMYFUNCTION("""COMPUTED_VALUE"""),0)</f>
        <v>0</v>
      </c>
      <c r="G10" s="50">
        <f ca="1">IFERROR(__xludf.DUMMYFUNCTION("""COMPUTED_VALUE"""),0)</f>
        <v>0</v>
      </c>
      <c r="H10" s="50">
        <f ca="1">IFERROR(__xludf.DUMMYFUNCTION("""COMPUTED_VALUE"""),0)</f>
        <v>0</v>
      </c>
      <c r="I10" s="9" t="str">
        <f ca="1">IFERROR(__xludf.DUMMYFUNCTION("""COMPUTED_VALUE"""),"Wallet name change, Old name: 'YD-Convex-bBTC'
")</f>
        <v xml:space="preserve">Wallet name change, Old name: 'YD-Convex-bBTC'
</v>
      </c>
      <c r="J10" s="9"/>
      <c r="K10" s="51">
        <f ca="1">IFERROR(__xludf.DUMMYFUNCTION("""COMPUTED_VALUE"""),0.02)</f>
        <v>0.02</v>
      </c>
      <c r="L10" s="9"/>
      <c r="M10" s="9"/>
      <c r="N10" s="9"/>
      <c r="O10" s="9"/>
      <c r="P10" s="9"/>
      <c r="Q10" s="9"/>
    </row>
    <row r="11" spans="1:17">
      <c r="A11" s="9" t="str">
        <f ca="1">IFERROR(__xludf.DUMMYFUNCTION("""COMPUTED_VALUE"""),"YD - Convex - LUSD")</f>
        <v>YD - Convex - LUSD</v>
      </c>
      <c r="B11" s="9" t="str">
        <f ca="1">IFERROR(__xludf.DUMMYFUNCTION("""COMPUTED_VALUE"""),"0xE32d0090dA539cA9Ab2d1d3fB53B8b91c93DDA12")</f>
        <v>0xE32d0090dA539cA9Ab2d1d3fB53B8b91c93DDA12</v>
      </c>
      <c r="C11" s="9" t="str">
        <f ca="1">IFERROR(__xludf.DUMMYFUNCTION("""COMPUTED_VALUE"""),"USDC")</f>
        <v>USDC</v>
      </c>
      <c r="D11" s="9" t="str">
        <f ca="1">IFERROR(__xludf.DUMMYFUNCTION("""COMPUTED_VALUE"""),"Live")</f>
        <v>Live</v>
      </c>
      <c r="E11" s="9" t="b">
        <f ca="1">IFERROR(__xludf.DUMMYFUNCTION("""COMPUTED_VALUE"""),TRUE)</f>
        <v>1</v>
      </c>
      <c r="F11" s="50">
        <f ca="1">IFERROR(__xludf.DUMMYFUNCTION("""COMPUTED_VALUE"""),0)</f>
        <v>0</v>
      </c>
      <c r="G11" s="50">
        <f ca="1">IFERROR(__xludf.DUMMYFUNCTION("""COMPUTED_VALUE"""),29800158.2463452)</f>
        <v>29800158.2463452</v>
      </c>
      <c r="H11" s="50">
        <f ca="1">IFERROR(__xludf.DUMMYFUNCTION("""COMPUTED_VALUE"""),29800158.2463452)</f>
        <v>29800158.2463452</v>
      </c>
      <c r="I11" s="9" t="str">
        <f ca="1">IFERROR(__xludf.DUMMYFUNCTION("""COMPUTED_VALUE"""),"Keep it as is for now")</f>
        <v>Keep it as is for now</v>
      </c>
      <c r="J11" s="9"/>
      <c r="K11" s="9"/>
      <c r="L11" s="9"/>
      <c r="M11" s="9"/>
      <c r="N11" s="30">
        <f ca="1">IFERROR(__xludf.DUMMYFUNCTION("""COMPUTED_VALUE"""),0.2292)</f>
        <v>0.22919999999999999</v>
      </c>
      <c r="O11" s="9"/>
      <c r="P11" s="9"/>
      <c r="Q11" s="9"/>
    </row>
    <row r="12" spans="1:17">
      <c r="A12" s="9" t="str">
        <f ca="1">IFERROR(__xludf.DUMMYFUNCTION("""COMPUTED_VALUE"""),"YD-Badger-oBTC
")</f>
        <v xml:space="preserve">YD-Badger-oBTC
</v>
      </c>
      <c r="B12" s="9" t="str">
        <f ca="1">IFERROR(__xludf.DUMMYFUNCTION("""COMPUTED_VALUE"""),"0x321814791bE9c16cf72DCCf986D455a0a163cE03")</f>
        <v>0x321814791bE9c16cf72DCCf986D455a0a163cE03</v>
      </c>
      <c r="C12" s="9" t="str">
        <f ca="1">IFERROR(__xludf.DUMMYFUNCTION("""COMPUTED_VALUE"""),"BTC")</f>
        <v>BTC</v>
      </c>
      <c r="D12" s="9" t="str">
        <f ca="1">IFERROR(__xludf.DUMMYFUNCTION("""COMPUTED_VALUE"""),"Live")</f>
        <v>Live</v>
      </c>
      <c r="E12" s="9" t="b">
        <f ca="1">IFERROR(__xludf.DUMMYFUNCTION("""COMPUTED_VALUE"""),TRUE)</f>
        <v>1</v>
      </c>
      <c r="F12" s="50">
        <f ca="1">IFERROR(__xludf.DUMMYFUNCTION("""COMPUTED_VALUE"""),0)</f>
        <v>0</v>
      </c>
      <c r="G12" s="50">
        <f ca="1">IFERROR(__xludf.DUMMYFUNCTION("""COMPUTED_VALUE"""),0)</f>
        <v>0</v>
      </c>
      <c r="H12" s="50">
        <f ca="1">IFERROR(__xludf.DUMMYFUNCTION("""COMPUTED_VALUE"""),0)</f>
        <v>0</v>
      </c>
      <c r="I12" s="9" t="str">
        <f ca="1">IFERROR(__xludf.DUMMYFUNCTION("""COMPUTED_VALUE"""),"Wallet name change, Old name: 'YD-Convex-oBTC'")</f>
        <v>Wallet name change, Old name: 'YD-Convex-oBTC'</v>
      </c>
      <c r="J12" s="9"/>
      <c r="K12" s="30">
        <f ca="1">IFERROR(__xludf.DUMMYFUNCTION("""COMPUTED_VALUE"""),0.1929)</f>
        <v>0.19289999999999999</v>
      </c>
      <c r="L12" s="9"/>
      <c r="M12" s="9"/>
      <c r="N12" s="9"/>
      <c r="O12" s="9"/>
      <c r="P12" s="9"/>
      <c r="Q12" s="9"/>
    </row>
    <row r="13" spans="1:17">
      <c r="A13" s="9" t="str">
        <f ca="1">IFERROR(__xludf.DUMMYFUNCTION("""COMPUTED_VALUE"""),"YD-Badger-pBTC
")</f>
        <v xml:space="preserve">YD-Badger-pBTC
</v>
      </c>
      <c r="B13" s="9" t="str">
        <f ca="1">IFERROR(__xludf.DUMMYFUNCTION("""COMPUTED_VALUE"""),"0xDe4288cbc81605E615e40aa0E171F74594671e53")</f>
        <v>0xDe4288cbc81605E615e40aa0E171F74594671e53</v>
      </c>
      <c r="C13" s="9" t="str">
        <f ca="1">IFERROR(__xludf.DUMMYFUNCTION("""COMPUTED_VALUE"""),"BTC")</f>
        <v>BTC</v>
      </c>
      <c r="D13" s="9" t="str">
        <f ca="1">IFERROR(__xludf.DUMMYFUNCTION("""COMPUTED_VALUE"""),"Live")</f>
        <v>Live</v>
      </c>
      <c r="E13" s="9" t="b">
        <f ca="1">IFERROR(__xludf.DUMMYFUNCTION("""COMPUTED_VALUE"""),TRUE)</f>
        <v>1</v>
      </c>
      <c r="F13" s="50">
        <f ca="1">IFERROR(__xludf.DUMMYFUNCTION("""COMPUTED_VALUE"""),0)</f>
        <v>0</v>
      </c>
      <c r="G13" s="50">
        <f ca="1">IFERROR(__xludf.DUMMYFUNCTION("""COMPUTED_VALUE"""),0)</f>
        <v>0</v>
      </c>
      <c r="H13" s="50">
        <f ca="1">IFERROR(__xludf.DUMMYFUNCTION("""COMPUTED_VALUE"""),0)</f>
        <v>0</v>
      </c>
      <c r="I13" s="9" t="str">
        <f ca="1">IFERROR(__xludf.DUMMYFUNCTION("""COMPUTED_VALUE"""),"Wallet name change, Old name: 'YD-Convex-pBTC'")</f>
        <v>Wallet name change, Old name: 'YD-Convex-pBTC'</v>
      </c>
      <c r="J13" s="9"/>
      <c r="K13" s="30">
        <f ca="1">IFERROR(__xludf.DUMMYFUNCTION("""COMPUTED_VALUE"""),0.2022)</f>
        <v>0.20219999999999999</v>
      </c>
      <c r="L13" s="9"/>
      <c r="M13" s="9"/>
      <c r="N13" s="9"/>
      <c r="O13" s="9"/>
      <c r="P13" s="9"/>
      <c r="Q13" s="9"/>
    </row>
    <row r="14" spans="1:17">
      <c r="A14" s="9" t="str">
        <f ca="1">IFERROR(__xludf.DUMMYFUNCTION("""COMPUTED_VALUE"""),"DD - Curve - rETH")</f>
        <v>DD - Curve - rETH</v>
      </c>
      <c r="B14" s="9" t="str">
        <f ca="1">IFERROR(__xludf.DUMMYFUNCTION("""COMPUTED_VALUE"""),"0xF8a8199C832256D0Ea397CB96E8A766Ff97d7985")</f>
        <v>0xF8a8199C832256D0Ea397CB96E8A766Ff97d7985</v>
      </c>
      <c r="C14" s="9" t="str">
        <f ca="1">IFERROR(__xludf.DUMMYFUNCTION("""COMPUTED_VALUE"""),"ETH")</f>
        <v>ETH</v>
      </c>
      <c r="D14" s="9" t="str">
        <f ca="1">IFERROR(__xludf.DUMMYFUNCTION("""COMPUTED_VALUE"""),"Live")</f>
        <v>Live</v>
      </c>
      <c r="E14" s="9" t="b">
        <f ca="1">IFERROR(__xludf.DUMMYFUNCTION("""COMPUTED_VALUE"""),TRUE)</f>
        <v>1</v>
      </c>
      <c r="F14" s="50">
        <f ca="1">IFERROR(__xludf.DUMMYFUNCTION("""COMPUTED_VALUE"""),0)</f>
        <v>0</v>
      </c>
      <c r="G14" s="50">
        <f ca="1">IFERROR(__xludf.DUMMYFUNCTION("""COMPUTED_VALUE"""),0)</f>
        <v>0</v>
      </c>
      <c r="H14" s="50">
        <f ca="1">IFERROR(__xludf.DUMMYFUNCTION("""COMPUTED_VALUE"""),0)</f>
        <v>0</v>
      </c>
      <c r="I14" s="9"/>
      <c r="J14" s="9" t="str">
        <f ca="1">IFERROR(__xludf.DUMMYFUNCTION("""COMPUTED_VALUE"""),"RETH")</f>
        <v>RETH</v>
      </c>
      <c r="K14" s="9"/>
      <c r="L14" s="30">
        <f ca="1">IFERROR(__xludf.DUMMYFUNCTION("""COMPUTED_VALUE"""),0.0809695258890804)</f>
        <v>8.0969525889080393E-2</v>
      </c>
      <c r="M14" s="9"/>
      <c r="N14" s="9"/>
      <c r="O14" s="9"/>
      <c r="P14" s="9"/>
      <c r="Q14" s="9"/>
    </row>
    <row r="15" spans="1:17">
      <c r="A15" s="9" t="str">
        <f ca="1">IFERROR(__xludf.DUMMYFUNCTION("""COMPUTED_VALUE"""),"YD - Curve - alUSD")</f>
        <v>YD - Curve - alUSD</v>
      </c>
      <c r="B15" s="9" t="str">
        <f ca="1">IFERROR(__xludf.DUMMYFUNCTION("""COMPUTED_VALUE"""),"0xAB7a0225C1B48474EF4F2c984E38bD9A18359E4C")</f>
        <v>0xAB7a0225C1B48474EF4F2c984E38bD9A18359E4C</v>
      </c>
      <c r="C15" s="9" t="str">
        <f ca="1">IFERROR(__xludf.DUMMYFUNCTION("""COMPUTED_VALUE"""),"USDT/USDC")</f>
        <v>USDT/USDC</v>
      </c>
      <c r="D15" s="9" t="str">
        <f ca="1">IFERROR(__xludf.DUMMYFUNCTION("""COMPUTED_VALUE"""),"Exited")</f>
        <v>Exited</v>
      </c>
      <c r="E15" s="9" t="b">
        <f ca="1">IFERROR(__xludf.DUMMYFUNCTION("""COMPUTED_VALUE"""),TRUE)</f>
        <v>1</v>
      </c>
      <c r="F15" s="50">
        <f ca="1">IFERROR(__xludf.DUMMYFUNCTION("""COMPUTED_VALUE"""),0)</f>
        <v>0</v>
      </c>
      <c r="G15" s="50">
        <f ca="1">IFERROR(__xludf.DUMMYFUNCTION("""COMPUTED_VALUE"""),0)</f>
        <v>0</v>
      </c>
      <c r="H15" s="50">
        <f ca="1">IFERROR(__xludf.DUMMYFUNCTION("""COMPUTED_VALUE"""),0)</f>
        <v>0</v>
      </c>
      <c r="I15" s="9"/>
      <c r="J15" s="9"/>
      <c r="K15" s="9"/>
      <c r="L15" s="9"/>
      <c r="M15" s="9"/>
      <c r="N15" s="9"/>
      <c r="O15" s="9"/>
      <c r="P15" s="9"/>
      <c r="Q15" s="9"/>
    </row>
    <row r="16" spans="1:17">
      <c r="A16" s="9" t="str">
        <f ca="1">IFERROR(__xludf.DUMMYFUNCTION("""COMPUTED_VALUE"""),"YD-Curve/Convex-AnkrETH
")</f>
        <v xml:space="preserve">YD-Curve/Convex-AnkrETH
</v>
      </c>
      <c r="B16" s="9" t="str">
        <f ca="1">IFERROR(__xludf.DUMMYFUNCTION("""COMPUTED_VALUE"""),"0x9D65b98D09914D0cd39172D20292142e4Fb8930a")</f>
        <v>0x9D65b98D09914D0cd39172D20292142e4Fb8930a</v>
      </c>
      <c r="C16" s="9" t="str">
        <f ca="1">IFERROR(__xludf.DUMMYFUNCTION("""COMPUTED_VALUE"""),"ETH")</f>
        <v>ETH</v>
      </c>
      <c r="D16" s="9" t="str">
        <f ca="1">IFERROR(__xludf.DUMMYFUNCTION("""COMPUTED_VALUE"""),"Live")</f>
        <v>Live</v>
      </c>
      <c r="E16" s="9" t="b">
        <f ca="1">IFERROR(__xludf.DUMMYFUNCTION("""COMPUTED_VALUE"""),TRUE)</f>
        <v>1</v>
      </c>
      <c r="F16" s="50">
        <f ca="1">IFERROR(__xludf.DUMMYFUNCTION("""COMPUTED_VALUE"""),0)</f>
        <v>0</v>
      </c>
      <c r="G16" s="50">
        <f ca="1">IFERROR(__xludf.DUMMYFUNCTION("""COMPUTED_VALUE"""),0)</f>
        <v>0</v>
      </c>
      <c r="H16" s="50">
        <f ca="1">IFERROR(__xludf.DUMMYFUNCTION("""COMPUTED_VALUE"""),0)</f>
        <v>0</v>
      </c>
      <c r="I16" s="9" t="str">
        <f ca="1">IFERROR(__xludf.DUMMYFUNCTION("""COMPUTED_VALUE"""),"Wallet name change, Old name: 'YD - Curve - AnkrETH'")</f>
        <v>Wallet name change, Old name: 'YD - Curve - AnkrETH'</v>
      </c>
      <c r="J16" s="9" t="str">
        <f ca="1">IFERROR(__xludf.DUMMYFUNCTION("""COMPUTED_VALUE"""),"ANKRETH")</f>
        <v>ANKRETH</v>
      </c>
      <c r="K16" s="9"/>
      <c r="L16" s="30">
        <f ca="1">IFERROR(__xludf.DUMMYFUNCTION("""COMPUTED_VALUE"""),0.04)</f>
        <v>0.04</v>
      </c>
      <c r="M16" s="9"/>
      <c r="N16" s="9"/>
      <c r="O16" s="9"/>
      <c r="P16" s="9"/>
      <c r="Q16" s="9"/>
    </row>
    <row r="17" spans="1:17">
      <c r="A17" s="9" t="str">
        <f ca="1">IFERROR(__xludf.DUMMYFUNCTION("""COMPUTED_VALUE"""),"YD - Curve - BBTC")</f>
        <v>YD - Curve - BBTC</v>
      </c>
      <c r="B17" s="9" t="str">
        <f ca="1">IFERROR(__xludf.DUMMYFUNCTION("""COMPUTED_VALUE"""),"0xC3646AcFC21168D16893ed000388926899061706")</f>
        <v>0xC3646AcFC21168D16893ed000388926899061706</v>
      </c>
      <c r="C17" s="9" t="str">
        <f ca="1">IFERROR(__xludf.DUMMYFUNCTION("""COMPUTED_VALUE"""),"BTC")</f>
        <v>BTC</v>
      </c>
      <c r="D17" s="9" t="str">
        <f ca="1">IFERROR(__xludf.DUMMYFUNCTION("""COMPUTED_VALUE"""),"Live")</f>
        <v>Live</v>
      </c>
      <c r="E17" s="9" t="b">
        <f ca="1">IFERROR(__xludf.DUMMYFUNCTION("""COMPUTED_VALUE"""),TRUE)</f>
        <v>1</v>
      </c>
      <c r="F17" s="50">
        <f ca="1">IFERROR(__xludf.DUMMYFUNCTION("""COMPUTED_VALUE"""),0)</f>
        <v>0</v>
      </c>
      <c r="G17" s="50">
        <f ca="1">IFERROR(__xludf.DUMMYFUNCTION("""COMPUTED_VALUE"""),7296.41638705187)</f>
        <v>7296.4163870518696</v>
      </c>
      <c r="H17" s="50">
        <f ca="1">IFERROR(__xludf.DUMMYFUNCTION("""COMPUTED_VALUE"""),7296.41638705187)</f>
        <v>7296.4163870518696</v>
      </c>
      <c r="I17" s="9"/>
      <c r="J17" s="9"/>
      <c r="K17" s="9"/>
      <c r="L17" s="9"/>
      <c r="M17" s="9"/>
      <c r="N17" s="9"/>
      <c r="O17" s="9"/>
      <c r="P17" s="9"/>
      <c r="Q17" s="9"/>
    </row>
    <row r="18" spans="1:17">
      <c r="A18" s="9" t="str">
        <f ca="1">IFERROR(__xludf.DUMMYFUNCTION("""COMPUTED_VALUE"""),"YD - Curve - BUSDv2")</f>
        <v>YD - Curve - BUSDv2</v>
      </c>
      <c r="B18" s="9" t="str">
        <f ca="1">IFERROR(__xludf.DUMMYFUNCTION("""COMPUTED_VALUE"""),"0xe734F28EdA78893DaB22D53FDD24F8595A2d7812")</f>
        <v>0xe734F28EdA78893DaB22D53FDD24F8595A2d7812</v>
      </c>
      <c r="C18" s="9" t="str">
        <f ca="1">IFERROR(__xludf.DUMMYFUNCTION("""COMPUTED_VALUE"""),"BUSD")</f>
        <v>BUSD</v>
      </c>
      <c r="D18" s="9" t="str">
        <f ca="1">IFERROR(__xludf.DUMMYFUNCTION("""COMPUTED_VALUE"""),"Live")</f>
        <v>Live</v>
      </c>
      <c r="E18" s="9" t="b">
        <f ca="1">IFERROR(__xludf.DUMMYFUNCTION("""COMPUTED_VALUE"""),TRUE)</f>
        <v>1</v>
      </c>
      <c r="F18" s="50">
        <f ca="1">IFERROR(__xludf.DUMMYFUNCTION("""COMPUTED_VALUE"""),0)</f>
        <v>0</v>
      </c>
      <c r="G18" s="50">
        <f ca="1">IFERROR(__xludf.DUMMYFUNCTION("""COMPUTED_VALUE"""),8244667.83720851)</f>
        <v>8244667.8372085104</v>
      </c>
      <c r="H18" s="50">
        <f ca="1">IFERROR(__xludf.DUMMYFUNCTION("""COMPUTED_VALUE"""),8244667.83720851)</f>
        <v>8244667.8372085104</v>
      </c>
      <c r="I18" s="9"/>
      <c r="J18" s="9"/>
      <c r="K18" s="9"/>
      <c r="L18" s="9"/>
      <c r="M18" s="9"/>
      <c r="N18" s="9"/>
      <c r="O18" s="30">
        <f ca="1">IFERROR(__xludf.DUMMYFUNCTION("""COMPUTED_VALUE"""),0.1898)</f>
        <v>0.1898</v>
      </c>
      <c r="P18" s="9"/>
      <c r="Q18" s="9"/>
    </row>
    <row r="19" spans="1:17">
      <c r="A19" s="9" t="str">
        <f ca="1">IFERROR(__xludf.DUMMYFUNCTION("""COMPUTED_VALUE"""),"YD-Convex/Badger-hBTC")</f>
        <v>YD-Convex/Badger-hBTC</v>
      </c>
      <c r="B19" s="9" t="str">
        <f ca="1">IFERROR(__xludf.DUMMYFUNCTION("""COMPUTED_VALUE"""),"0xbd9795a14035dBA41BccFC563329aA6b197A0cBB")</f>
        <v>0xbd9795a14035dBA41BccFC563329aA6b197A0cBB</v>
      </c>
      <c r="C19" s="9" t="str">
        <f ca="1">IFERROR(__xludf.DUMMYFUNCTION("""COMPUTED_VALUE"""),"BTC")</f>
        <v>BTC</v>
      </c>
      <c r="D19" s="9" t="str">
        <f ca="1">IFERROR(__xludf.DUMMYFUNCTION("""COMPUTED_VALUE"""),"Live")</f>
        <v>Live</v>
      </c>
      <c r="E19" s="9" t="b">
        <f ca="1">IFERROR(__xludf.DUMMYFUNCTION("""COMPUTED_VALUE"""),TRUE)</f>
        <v>1</v>
      </c>
      <c r="F19" s="50">
        <f ca="1">IFERROR(__xludf.DUMMYFUNCTION("""COMPUTED_VALUE"""),0)</f>
        <v>0</v>
      </c>
      <c r="G19" s="50">
        <f ca="1">IFERROR(__xludf.DUMMYFUNCTION("""COMPUTED_VALUE"""),0)</f>
        <v>0</v>
      </c>
      <c r="H19" s="50">
        <f ca="1">IFERROR(__xludf.DUMMYFUNCTION("""COMPUTED_VALUE"""),0)</f>
        <v>0</v>
      </c>
      <c r="I19" s="9" t="str">
        <f ca="1">IFERROR(__xludf.DUMMYFUNCTION("""COMPUTED_VALUE"""),"Wallet name change, Old name: 'YD-Curve-hBTC'")</f>
        <v>Wallet name change, Old name: 'YD-Curve-hBTC'</v>
      </c>
      <c r="J19" s="9" t="str">
        <f ca="1">IFERROR(__xludf.DUMMYFUNCTION("""COMPUTED_VALUE"""),"HBTC")</f>
        <v>HBTC</v>
      </c>
      <c r="K19" s="30">
        <f ca="1">IFERROR(__xludf.DUMMYFUNCTION("""COMPUTED_VALUE"""),0.0186022136586362)</f>
        <v>1.8602213658636201E-2</v>
      </c>
      <c r="L19" s="9"/>
      <c r="M19" s="9"/>
      <c r="N19" s="9"/>
      <c r="O19" s="9"/>
      <c r="P19" s="9"/>
      <c r="Q19" s="9"/>
    </row>
    <row r="20" spans="1:17">
      <c r="A20" s="9" t="str">
        <f ca="1">IFERROR(__xludf.DUMMYFUNCTION("""COMPUTED_VALUE"""),"YD - Curve - oBTC")</f>
        <v>YD - Curve - oBTC</v>
      </c>
      <c r="B20" s="9" t="str">
        <f ca="1">IFERROR(__xludf.DUMMYFUNCTION("""COMPUTED_VALUE"""),"0xc6BF6ac334814208f9450FA068bE53fC7Df13c24")</f>
        <v>0xc6BF6ac334814208f9450FA068bE53fC7Df13c24</v>
      </c>
      <c r="C20" s="9" t="str">
        <f ca="1">IFERROR(__xludf.DUMMYFUNCTION("""COMPUTED_VALUE"""),"BTC")</f>
        <v>BTC</v>
      </c>
      <c r="D20" s="9" t="str">
        <f ca="1">IFERROR(__xludf.DUMMYFUNCTION("""COMPUTED_VALUE"""),"Live")</f>
        <v>Live</v>
      </c>
      <c r="E20" s="9" t="b">
        <f ca="1">IFERROR(__xludf.DUMMYFUNCTION("""COMPUTED_VALUE"""),TRUE)</f>
        <v>1</v>
      </c>
      <c r="F20" s="50">
        <f ca="1">IFERROR(__xludf.DUMMYFUNCTION("""COMPUTED_VALUE"""),0)</f>
        <v>0</v>
      </c>
      <c r="G20" s="50">
        <f ca="1">IFERROR(__xludf.DUMMYFUNCTION("""COMPUTED_VALUE"""),15184.6814682767)</f>
        <v>15184.6814682767</v>
      </c>
      <c r="H20" s="50">
        <f ca="1">IFERROR(__xludf.DUMMYFUNCTION("""COMPUTED_VALUE"""),15184.6814682767)</f>
        <v>15184.6814682767</v>
      </c>
      <c r="I20" s="9"/>
      <c r="J20" s="9"/>
      <c r="K20" s="9"/>
      <c r="L20" s="9"/>
      <c r="M20" s="9"/>
      <c r="N20" s="9"/>
      <c r="O20" s="9"/>
      <c r="P20" s="9"/>
      <c r="Q20" s="9"/>
    </row>
    <row r="21" spans="1:17">
      <c r="A21" s="9" t="str">
        <f ca="1">IFERROR(__xludf.DUMMYFUNCTION("""COMPUTED_VALUE"""),"YD - Curve - pBTC")</f>
        <v>YD - Curve - pBTC</v>
      </c>
      <c r="B21" s="9" t="str">
        <f ca="1">IFERROR(__xludf.DUMMYFUNCTION("""COMPUTED_VALUE"""),"0x2CA12140298Dd9fc7A995fc66A01110D0C1778C1")</f>
        <v>0x2CA12140298Dd9fc7A995fc66A01110D0C1778C1</v>
      </c>
      <c r="C21" s="9" t="str">
        <f ca="1">IFERROR(__xludf.DUMMYFUNCTION("""COMPUTED_VALUE"""),"BTC")</f>
        <v>BTC</v>
      </c>
      <c r="D21" s="9" t="str">
        <f ca="1">IFERROR(__xludf.DUMMYFUNCTION("""COMPUTED_VALUE"""),"Live")</f>
        <v>Live</v>
      </c>
      <c r="E21" s="9" t="b">
        <f ca="1">IFERROR(__xludf.DUMMYFUNCTION("""COMPUTED_VALUE"""),TRUE)</f>
        <v>1</v>
      </c>
      <c r="F21" s="50">
        <f ca="1">IFERROR(__xludf.DUMMYFUNCTION("""COMPUTED_VALUE"""),0)</f>
        <v>0</v>
      </c>
      <c r="G21" s="50">
        <f ca="1">IFERROR(__xludf.DUMMYFUNCTION("""COMPUTED_VALUE"""),64730.3268756787)</f>
        <v>64730.3268756787</v>
      </c>
      <c r="H21" s="50">
        <f ca="1">IFERROR(__xludf.DUMMYFUNCTION("""COMPUTED_VALUE"""),64730.3268756787)</f>
        <v>64730.3268756787</v>
      </c>
      <c r="I21" s="9"/>
      <c r="J21" s="9"/>
      <c r="K21" s="9"/>
      <c r="L21" s="9"/>
      <c r="M21" s="9"/>
      <c r="N21" s="9"/>
      <c r="O21" s="9"/>
      <c r="P21" s="9"/>
      <c r="Q21" s="9"/>
    </row>
    <row r="22" spans="1:17">
      <c r="A22" s="9" t="str">
        <f ca="1">IFERROR(__xludf.DUMMYFUNCTION("""COMPUTED_VALUE"""),"YD-Convex-renBTC")</f>
        <v>YD-Convex-renBTC</v>
      </c>
      <c r="B22" s="9" t="str">
        <f ca="1">IFERROR(__xludf.DUMMYFUNCTION("""COMPUTED_VALUE"""),"0x7F5b62177541b48d6242620A7C02a16c9c83F4b3")</f>
        <v>0x7F5b62177541b48d6242620A7C02a16c9c83F4b3</v>
      </c>
      <c r="C22" s="9" t="str">
        <f ca="1">IFERROR(__xludf.DUMMYFUNCTION("""COMPUTED_VALUE"""),"BTC")</f>
        <v>BTC</v>
      </c>
      <c r="D22" s="9" t="str">
        <f ca="1">IFERROR(__xludf.DUMMYFUNCTION("""COMPUTED_VALUE"""),"Live")</f>
        <v>Live</v>
      </c>
      <c r="E22" s="9" t="b">
        <f ca="1">IFERROR(__xludf.DUMMYFUNCTION("""COMPUTED_VALUE"""),TRUE)</f>
        <v>1</v>
      </c>
      <c r="F22" s="50">
        <f ca="1">IFERROR(__xludf.DUMMYFUNCTION("""COMPUTED_VALUE"""),0)</f>
        <v>0</v>
      </c>
      <c r="G22" s="50">
        <f ca="1">IFERROR(__xludf.DUMMYFUNCTION("""COMPUTED_VALUE"""),0)</f>
        <v>0</v>
      </c>
      <c r="H22" s="50">
        <f ca="1">IFERROR(__xludf.DUMMYFUNCTION("""COMPUTED_VALUE"""),0)</f>
        <v>0</v>
      </c>
      <c r="I22" s="9" t="str">
        <f ca="1">IFERROR(__xludf.DUMMYFUNCTION("""COMPUTED_VALUE"""),"Wallet name change, Old name:'YD-Curve-renBTC'")</f>
        <v>Wallet name change, Old name:'YD-Curve-renBTC'</v>
      </c>
      <c r="J22" s="9"/>
      <c r="K22" s="30">
        <f ca="1">IFERROR(__xludf.DUMMYFUNCTION("""COMPUTED_VALUE"""),0.1019)</f>
        <v>0.1019</v>
      </c>
      <c r="L22" s="9"/>
      <c r="M22" s="9"/>
      <c r="N22" s="9"/>
      <c r="O22" s="9"/>
      <c r="P22" s="9"/>
      <c r="Q22" s="9"/>
    </row>
    <row r="23" spans="1:17">
      <c r="A23" s="9" t="str">
        <f ca="1">IFERROR(__xludf.DUMMYFUNCTION("""COMPUTED_VALUE"""),"YD-Badger-sBTC")</f>
        <v>YD-Badger-sBTC</v>
      </c>
      <c r="B23" s="9" t="str">
        <f ca="1">IFERROR(__xludf.DUMMYFUNCTION("""COMPUTED_VALUE"""),"0x81EEc27E8e98289732ac106632047896E6592604")</f>
        <v>0x81EEc27E8e98289732ac106632047896E6592604</v>
      </c>
      <c r="C23" s="9" t="str">
        <f ca="1">IFERROR(__xludf.DUMMYFUNCTION("""COMPUTED_VALUE"""),"BTC")</f>
        <v>BTC</v>
      </c>
      <c r="D23" s="9" t="str">
        <f ca="1">IFERROR(__xludf.DUMMYFUNCTION("""COMPUTED_VALUE"""),"Live")</f>
        <v>Live</v>
      </c>
      <c r="E23" s="9" t="b">
        <f ca="1">IFERROR(__xludf.DUMMYFUNCTION("""COMPUTED_VALUE"""),TRUE)</f>
        <v>1</v>
      </c>
      <c r="F23" s="50">
        <f ca="1">IFERROR(__xludf.DUMMYFUNCTION("""COMPUTED_VALUE"""),0)</f>
        <v>0</v>
      </c>
      <c r="G23" s="50">
        <f ca="1">IFERROR(__xludf.DUMMYFUNCTION("""COMPUTED_VALUE"""),0)</f>
        <v>0</v>
      </c>
      <c r="H23" s="50">
        <f ca="1">IFERROR(__xludf.DUMMYFUNCTION("""COMPUTED_VALUE"""),0)</f>
        <v>0</v>
      </c>
      <c r="I23" s="9" t="str">
        <f ca="1">IFERROR(__xludf.DUMMYFUNCTION("""COMPUTED_VALUE"""),"Wallet name change, Old name:'YD-Curve-sBTC'")</f>
        <v>Wallet name change, Old name:'YD-Curve-sBTC'</v>
      </c>
      <c r="J23" s="9"/>
      <c r="K23" s="30">
        <f ca="1">IFERROR(__xludf.DUMMYFUNCTION("""COMPUTED_VALUE"""),0.02)</f>
        <v>0.02</v>
      </c>
      <c r="L23" s="9"/>
      <c r="M23" s="9"/>
      <c r="N23" s="9"/>
      <c r="O23" s="9"/>
      <c r="P23" s="9"/>
      <c r="Q23" s="9"/>
    </row>
    <row r="24" spans="1:17">
      <c r="A24" s="9" t="str">
        <f ca="1">IFERROR(__xludf.DUMMYFUNCTION("""COMPUTED_VALUE"""),"YD - Curve - sETH")</f>
        <v>YD - Curve - sETH</v>
      </c>
      <c r="B24" s="9" t="str">
        <f ca="1">IFERROR(__xludf.DUMMYFUNCTION("""COMPUTED_VALUE"""),"0xC9d0eC063fbf29438D5356b3c654892b387E5CCB")</f>
        <v>0xC9d0eC063fbf29438D5356b3c654892b387E5CCB</v>
      </c>
      <c r="C24" s="9" t="str">
        <f ca="1">IFERROR(__xludf.DUMMYFUNCTION("""COMPUTED_VALUE"""),"ETH")</f>
        <v>ETH</v>
      </c>
      <c r="D24" s="9" t="str">
        <f ca="1">IFERROR(__xludf.DUMMYFUNCTION("""COMPUTED_VALUE"""),"Live")</f>
        <v>Live</v>
      </c>
      <c r="E24" s="9" t="b">
        <f ca="1">IFERROR(__xludf.DUMMYFUNCTION("""COMPUTED_VALUE"""),TRUE)</f>
        <v>1</v>
      </c>
      <c r="F24" s="50">
        <f ca="1">IFERROR(__xludf.DUMMYFUNCTION("""COMPUTED_VALUE"""),0)</f>
        <v>0</v>
      </c>
      <c r="G24" s="50">
        <f ca="1">IFERROR(__xludf.DUMMYFUNCTION("""COMPUTED_VALUE"""),282329917.577448)</f>
        <v>282329917.57744801</v>
      </c>
      <c r="H24" s="50">
        <f ca="1">IFERROR(__xludf.DUMMYFUNCTION("""COMPUTED_VALUE"""),282329917.577448)</f>
        <v>282329917.57744801</v>
      </c>
      <c r="I24" s="9"/>
      <c r="J24" s="9" t="str">
        <f ca="1">IFERROR(__xludf.DUMMYFUNCTION("""COMPUTED_VALUE"""),"SETH")</f>
        <v>SETH</v>
      </c>
      <c r="K24" s="9"/>
      <c r="L24" s="30">
        <f ca="1">IFERROR(__xludf.DUMMYFUNCTION("""COMPUTED_VALUE"""),0.00780944112752306)</f>
        <v>7.8094411275230601E-3</v>
      </c>
      <c r="M24" s="9"/>
      <c r="N24" s="9"/>
      <c r="O24" s="9"/>
      <c r="P24" s="9"/>
      <c r="Q24" s="9"/>
    </row>
    <row r="25" spans="1:17">
      <c r="A25" s="9" t="str">
        <f ca="1">IFERROR(__xludf.DUMMYFUNCTION("""COMPUTED_VALUE"""),"YD - Curve - SLINK")</f>
        <v>YD - Curve - SLINK</v>
      </c>
      <c r="B25" s="9" t="str">
        <f ca="1">IFERROR(__xludf.DUMMYFUNCTION("""COMPUTED_VALUE"""),"0x23BDf770d95f6A9F80e28708573b1488CB18f300")</f>
        <v>0x23BDf770d95f6A9F80e28708573b1488CB18f300</v>
      </c>
      <c r="C25" s="9" t="str">
        <f ca="1">IFERROR(__xludf.DUMMYFUNCTION("""COMPUTED_VALUE"""),"LINK")</f>
        <v>LINK</v>
      </c>
      <c r="D25" s="9" t="str">
        <f ca="1">IFERROR(__xludf.DUMMYFUNCTION("""COMPUTED_VALUE"""),"Live")</f>
        <v>Live</v>
      </c>
      <c r="E25" s="9" t="b">
        <f ca="1">IFERROR(__xludf.DUMMYFUNCTION("""COMPUTED_VALUE"""),TRUE)</f>
        <v>1</v>
      </c>
      <c r="F25" s="50">
        <f ca="1">IFERROR(__xludf.DUMMYFUNCTION("""COMPUTED_VALUE"""),0)</f>
        <v>0</v>
      </c>
      <c r="G25" s="50">
        <f ca="1">IFERROR(__xludf.DUMMYFUNCTION("""COMPUTED_VALUE"""),18995804.6154281)</f>
        <v>18995804.615428101</v>
      </c>
      <c r="H25" s="50">
        <f ca="1">IFERROR(__xludf.DUMMYFUNCTION("""COMPUTED_VALUE"""),18995804.6154281)</f>
        <v>18995804.615428101</v>
      </c>
      <c r="I25" s="9"/>
      <c r="J25" s="9" t="str">
        <f ca="1">IFERROR(__xludf.DUMMYFUNCTION("""COMPUTED_VALUE"""),"LINK")</f>
        <v>LINK</v>
      </c>
      <c r="K25" s="9"/>
      <c r="L25" s="9"/>
      <c r="M25" s="30">
        <f ca="1">IFERROR(__xludf.DUMMYFUNCTION("""COMPUTED_VALUE"""),0.0105703264948355)</f>
        <v>1.05703264948355E-2</v>
      </c>
      <c r="N25" s="9"/>
      <c r="O25" s="9"/>
      <c r="P25" s="9"/>
      <c r="Q25" s="9"/>
    </row>
    <row r="26" spans="1:17">
      <c r="A26" s="9" t="str">
        <f ca="1">IFERROR(__xludf.DUMMYFUNCTION("""COMPUTED_VALUE"""),"YD - Curve - stETH")</f>
        <v>YD - Curve - stETH</v>
      </c>
      <c r="B26" s="9" t="str">
        <f ca="1">IFERROR(__xludf.DUMMYFUNCTION("""COMPUTED_VALUE"""),"0xBC8d100e2c7C1d6BbEfc3128bd5185d226a1976A")</f>
        <v>0xBC8d100e2c7C1d6BbEfc3128bd5185d226a1976A</v>
      </c>
      <c r="C26" s="9" t="str">
        <f ca="1">IFERROR(__xludf.DUMMYFUNCTION("""COMPUTED_VALUE"""),"ETH")</f>
        <v>ETH</v>
      </c>
      <c r="D26" s="9" t="str">
        <f ca="1">IFERROR(__xludf.DUMMYFUNCTION("""COMPUTED_VALUE"""),"Live")</f>
        <v>Live</v>
      </c>
      <c r="E26" s="9" t="b">
        <f ca="1">IFERROR(__xludf.DUMMYFUNCTION("""COMPUTED_VALUE"""),TRUE)</f>
        <v>1</v>
      </c>
      <c r="F26" s="50">
        <f ca="1">IFERROR(__xludf.DUMMYFUNCTION("""COMPUTED_VALUE"""),0)</f>
        <v>0</v>
      </c>
      <c r="G26" s="50">
        <f ca="1">IFERROR(__xludf.DUMMYFUNCTION("""COMPUTED_VALUE"""),756007999.401758)</f>
        <v>756007999.40175796</v>
      </c>
      <c r="H26" s="50">
        <f ca="1">IFERROR(__xludf.DUMMYFUNCTION("""COMPUTED_VALUE"""),756007999.401758)</f>
        <v>756007999.40175796</v>
      </c>
      <c r="I26" s="9"/>
      <c r="J26" s="9" t="str">
        <f ca="1">IFERROR(__xludf.DUMMYFUNCTION("""COMPUTED_VALUE"""),"STETH")</f>
        <v>STETH</v>
      </c>
      <c r="K26" s="9"/>
      <c r="L26" s="30">
        <f ca="1">IFERROR(__xludf.DUMMYFUNCTION("""COMPUTED_VALUE"""),0.0960760283564737)</f>
        <v>9.6076028356473706E-2</v>
      </c>
      <c r="M26" s="9"/>
      <c r="N26" s="9"/>
      <c r="O26" s="9"/>
      <c r="P26" s="9"/>
      <c r="Q26" s="9"/>
    </row>
    <row r="27" spans="1:17">
      <c r="A27" s="9" t="str">
        <f ca="1">IFERROR(__xludf.DUMMYFUNCTION("""COMPUTED_VALUE"""),"DD - Convex - tBTC")</f>
        <v>DD - Convex - tBTC</v>
      </c>
      <c r="B27" s="9" t="str">
        <f ca="1">IFERROR(__xludf.DUMMYFUNCTION("""COMPUTED_VALUE"""),"0x93494ee38aA2984F6ef6649976488e589571A013")</f>
        <v>0x93494ee38aA2984F6ef6649976488e589571A013</v>
      </c>
      <c r="C27" s="9" t="str">
        <f ca="1">IFERROR(__xludf.DUMMYFUNCTION("""COMPUTED_VALUE"""),"BTC")</f>
        <v>BTC</v>
      </c>
      <c r="D27" s="9" t="str">
        <f ca="1">IFERROR(__xludf.DUMMYFUNCTION("""COMPUTED_VALUE"""),"Live")</f>
        <v>Live</v>
      </c>
      <c r="E27" s="9" t="b">
        <f ca="1">IFERROR(__xludf.DUMMYFUNCTION("""COMPUTED_VALUE"""),TRUE)</f>
        <v>1</v>
      </c>
      <c r="F27" s="50">
        <f ca="1">IFERROR(__xludf.DUMMYFUNCTION("""COMPUTED_VALUE"""),0)</f>
        <v>0</v>
      </c>
      <c r="G27" s="50">
        <f ca="1">IFERROR(__xludf.DUMMYFUNCTION("""COMPUTED_VALUE"""),0)</f>
        <v>0</v>
      </c>
      <c r="H27" s="50">
        <f ca="1">IFERROR(__xludf.DUMMYFUNCTION("""COMPUTED_VALUE"""),0)</f>
        <v>0</v>
      </c>
      <c r="I27" s="9"/>
      <c r="J27" s="9"/>
      <c r="K27" s="30">
        <f ca="1">IFERROR(__xludf.DUMMYFUNCTION("""COMPUTED_VALUE"""),0.2358)</f>
        <v>0.23580000000000001</v>
      </c>
      <c r="L27" s="9"/>
      <c r="M27" s="9"/>
      <c r="N27" s="9"/>
      <c r="O27" s="9"/>
      <c r="P27" s="9"/>
      <c r="Q27" s="9"/>
    </row>
    <row r="28" spans="1:17">
      <c r="A28" s="9" t="str">
        <f ca="1">IFERROR(__xludf.DUMMYFUNCTION("""COMPUTED_VALUE"""),"YD - Harvest - HBTC")</f>
        <v>YD - Harvest - HBTC</v>
      </c>
      <c r="B28" s="9" t="str">
        <f ca="1">IFERROR(__xludf.DUMMYFUNCTION("""COMPUTED_VALUE"""),"0x0F474447fAca01dCc09C9741179d2619499F7ae9")</f>
        <v>0x0F474447fAca01dCc09C9741179d2619499F7ae9</v>
      </c>
      <c r="C28" s="9" t="str">
        <f ca="1">IFERROR(__xludf.DUMMYFUNCTION("""COMPUTED_VALUE"""),"BTC")</f>
        <v>BTC</v>
      </c>
      <c r="D28" s="9" t="str">
        <f ca="1">IFERROR(__xludf.DUMMYFUNCTION("""COMPUTED_VALUE"""),"Live")</f>
        <v>Live</v>
      </c>
      <c r="E28" s="9" t="b">
        <f ca="1">IFERROR(__xludf.DUMMYFUNCTION("""COMPUTED_VALUE"""),TRUE)</f>
        <v>1</v>
      </c>
      <c r="F28" s="50">
        <f ca="1">IFERROR(__xludf.DUMMYFUNCTION("""COMPUTED_VALUE"""),0)</f>
        <v>0</v>
      </c>
      <c r="G28" s="50">
        <f ca="1">IFERROR(__xludf.DUMMYFUNCTION("""COMPUTED_VALUE"""),0)</f>
        <v>0</v>
      </c>
      <c r="H28" s="50">
        <f ca="1">IFERROR(__xludf.DUMMYFUNCTION("""COMPUTED_VALUE"""),0)</f>
        <v>0</v>
      </c>
      <c r="I28" s="9"/>
      <c r="J28" s="9"/>
      <c r="K28" s="30">
        <f ca="1">IFERROR(__xludf.DUMMYFUNCTION("""COMPUTED_VALUE"""),0.0897)</f>
        <v>8.9700000000000002E-2</v>
      </c>
      <c r="L28" s="9"/>
      <c r="M28" s="9"/>
      <c r="N28" s="9"/>
      <c r="O28" s="9"/>
      <c r="P28" s="9"/>
      <c r="Q28" s="9"/>
    </row>
    <row r="29" spans="1:17">
      <c r="A29" s="9" t="str">
        <f ca="1">IFERROR(__xludf.DUMMYFUNCTION("""COMPUTED_VALUE"""),"YD - Harvest - renBTC")</f>
        <v>YD - Harvest - renBTC</v>
      </c>
      <c r="B29" s="9" t="str">
        <f ca="1">IFERROR(__xludf.DUMMYFUNCTION("""COMPUTED_VALUE"""),"0xb78Eeb513f717a29089eFb023E80F927CA2F0346")</f>
        <v>0xb78Eeb513f717a29089eFb023E80F927CA2F0346</v>
      </c>
      <c r="C29" s="9" t="str">
        <f ca="1">IFERROR(__xludf.DUMMYFUNCTION("""COMPUTED_VALUE"""),"BTC")</f>
        <v>BTC</v>
      </c>
      <c r="D29" s="9" t="str">
        <f ca="1">IFERROR(__xludf.DUMMYFUNCTION("""COMPUTED_VALUE"""),"Live")</f>
        <v>Live</v>
      </c>
      <c r="E29" s="9" t="b">
        <f ca="1">IFERROR(__xludf.DUMMYFUNCTION("""COMPUTED_VALUE"""),TRUE)</f>
        <v>1</v>
      </c>
      <c r="F29" s="50">
        <f ca="1">IFERROR(__xludf.DUMMYFUNCTION("""COMPUTED_VALUE"""),0)</f>
        <v>0</v>
      </c>
      <c r="G29" s="50">
        <f ca="1">IFERROR(__xludf.DUMMYFUNCTION("""COMPUTED_VALUE"""),0)</f>
        <v>0</v>
      </c>
      <c r="H29" s="50">
        <f ca="1">IFERROR(__xludf.DUMMYFUNCTION("""COMPUTED_VALUE"""),0)</f>
        <v>0</v>
      </c>
      <c r="I29" s="9"/>
      <c r="J29" s="9"/>
      <c r="K29" s="30">
        <f ca="1">IFERROR(__xludf.DUMMYFUNCTION("""COMPUTED_VALUE"""),0.0817)</f>
        <v>8.1699999999999995E-2</v>
      </c>
      <c r="L29" s="9"/>
      <c r="M29" s="9"/>
      <c r="N29" s="9"/>
      <c r="O29" s="9"/>
      <c r="P29" s="9"/>
      <c r="Q29" s="9"/>
    </row>
    <row r="30" spans="1:17">
      <c r="A30" s="9" t="str">
        <f ca="1">IFERROR(__xludf.DUMMYFUNCTION("""COMPUTED_VALUE"""),"YD - Harvest - oBTC")</f>
        <v>YD - Harvest - oBTC</v>
      </c>
      <c r="B30" s="9" t="str">
        <f ca="1">IFERROR(__xludf.DUMMYFUNCTION("""COMPUTED_VALUE"""),"0x5dd0f5fD732Bc8C5f115Ce72030516AC552370FE")</f>
        <v>0x5dd0f5fD732Bc8C5f115Ce72030516AC552370FE</v>
      </c>
      <c r="C30" s="9" t="str">
        <f ca="1">IFERROR(__xludf.DUMMYFUNCTION("""COMPUTED_VALUE"""),"BTC")</f>
        <v>BTC</v>
      </c>
      <c r="D30" s="9" t="str">
        <f ca="1">IFERROR(__xludf.DUMMYFUNCTION("""COMPUTED_VALUE"""),"Live")</f>
        <v>Live</v>
      </c>
      <c r="E30" s="9" t="b">
        <f ca="1">IFERROR(__xludf.DUMMYFUNCTION("""COMPUTED_VALUE"""),TRUE)</f>
        <v>1</v>
      </c>
      <c r="F30" s="50">
        <f ca="1">IFERROR(__xludf.DUMMYFUNCTION("""COMPUTED_VALUE"""),0)</f>
        <v>0</v>
      </c>
      <c r="G30" s="50">
        <f ca="1">IFERROR(__xludf.DUMMYFUNCTION("""COMPUTED_VALUE"""),0)</f>
        <v>0</v>
      </c>
      <c r="H30" s="50">
        <f ca="1">IFERROR(__xludf.DUMMYFUNCTION("""COMPUTED_VALUE"""),0)</f>
        <v>0</v>
      </c>
      <c r="I30" s="9"/>
      <c r="J30" s="9"/>
      <c r="K30" s="30">
        <f ca="1">IFERROR(__xludf.DUMMYFUNCTION("""COMPUTED_VALUE"""),0.1708)</f>
        <v>0.17080000000000001</v>
      </c>
      <c r="L30" s="9"/>
      <c r="M30" s="9"/>
      <c r="N30" s="9"/>
      <c r="O30" s="9"/>
      <c r="P30" s="9"/>
      <c r="Q30" s="9"/>
    </row>
    <row r="31" spans="1:17">
      <c r="A31" s="9" t="str">
        <f ca="1">IFERROR(__xludf.DUMMYFUNCTION("""COMPUTED_VALUE"""),"YD - Keeper - ETH")</f>
        <v>YD - Keeper - ETH</v>
      </c>
      <c r="B31" s="9" t="str">
        <f ca="1">IFERROR(__xludf.DUMMYFUNCTION("""COMPUTED_VALUE"""),"0x144D8AD4addCB77D6f33eF23890ec8A8e92839c4")</f>
        <v>0x144D8AD4addCB77D6f33eF23890ec8A8e92839c4</v>
      </c>
      <c r="C31" s="9" t="str">
        <f ca="1">IFERROR(__xludf.DUMMYFUNCTION("""COMPUTED_VALUE"""),"ETH")</f>
        <v>ETH</v>
      </c>
      <c r="D31" s="9" t="str">
        <f ca="1">IFERROR(__xludf.DUMMYFUNCTION("""COMPUTED_VALUE"""),"Live")</f>
        <v>Live</v>
      </c>
      <c r="E31" s="9" t="b">
        <f ca="1">IFERROR(__xludf.DUMMYFUNCTION("""COMPUTED_VALUE"""),TRUE)</f>
        <v>1</v>
      </c>
      <c r="F31" s="50">
        <f ca="1">IFERROR(__xludf.DUMMYFUNCTION("""COMPUTED_VALUE"""),0)</f>
        <v>0</v>
      </c>
      <c r="G31" s="50">
        <f ca="1">IFERROR(__xludf.DUMMYFUNCTION("""COMPUTED_VALUE"""),55591117.4185208)</f>
        <v>55591117.418520801</v>
      </c>
      <c r="H31" s="50">
        <f ca="1">IFERROR(__xludf.DUMMYFUNCTION("""COMPUTED_VALUE"""),55591117.4185208)</f>
        <v>55591117.418520801</v>
      </c>
      <c r="I31" s="9"/>
      <c r="J31" s="9"/>
      <c r="K31" s="9"/>
      <c r="L31" s="30">
        <f ca="1">IFERROR(__xludf.DUMMYFUNCTION("""COMPUTED_VALUE"""),0.0273)</f>
        <v>2.7300000000000001E-2</v>
      </c>
      <c r="M31" s="9"/>
      <c r="N31" s="9"/>
      <c r="O31" s="9"/>
      <c r="P31" s="9"/>
      <c r="Q31" s="9"/>
    </row>
    <row r="32" spans="1:17">
      <c r="A32" s="9" t="str">
        <f ca="1">IFERROR(__xludf.DUMMYFUNCTION("""COMPUTED_VALUE"""),"YD-Badger-renBTC")</f>
        <v>YD-Badger-renBTC</v>
      </c>
      <c r="B32" s="9" t="str">
        <f ca="1">IFERROR(__xludf.DUMMYFUNCTION("""COMPUTED_VALUE"""),"0x8861dF23a1F37b33293e6DEb8bf28B88c3731cEb")</f>
        <v>0x8861dF23a1F37b33293e6DEb8bf28B88c3731cEb</v>
      </c>
      <c r="C32" s="9" t="str">
        <f ca="1">IFERROR(__xludf.DUMMYFUNCTION("""COMPUTED_VALUE"""),"BTC")</f>
        <v>BTC</v>
      </c>
      <c r="D32" s="9" t="str">
        <f ca="1">IFERROR(__xludf.DUMMYFUNCTION("""COMPUTED_VALUE"""),"Live")</f>
        <v>Live</v>
      </c>
      <c r="E32" s="9" t="b">
        <f ca="1">IFERROR(__xludf.DUMMYFUNCTION("""COMPUTED_VALUE"""),TRUE)</f>
        <v>1</v>
      </c>
      <c r="F32" s="50">
        <f ca="1">IFERROR(__xludf.DUMMYFUNCTION("""COMPUTED_VALUE"""),0)</f>
        <v>0</v>
      </c>
      <c r="G32" s="50">
        <f ca="1">IFERROR(__xludf.DUMMYFUNCTION("""COMPUTED_VALUE"""),0)</f>
        <v>0</v>
      </c>
      <c r="H32" s="50">
        <f ca="1">IFERROR(__xludf.DUMMYFUNCTION("""COMPUTED_VALUE"""),0)</f>
        <v>0</v>
      </c>
      <c r="I32" s="9" t="str">
        <f ca="1">IFERROR(__xludf.DUMMYFUNCTION("""COMPUTED_VALUE"""),"Wallet name change, Old name:'YD-Keeper-renBTC'
")</f>
        <v xml:space="preserve">Wallet name change, Old name:'YD-Keeper-renBTC'
</v>
      </c>
      <c r="J32" s="9"/>
      <c r="K32" s="30">
        <f ca="1">IFERROR(__xludf.DUMMYFUNCTION("""COMPUTED_VALUE"""),0.05)</f>
        <v>0.05</v>
      </c>
      <c r="L32" s="9"/>
      <c r="M32" s="9"/>
      <c r="N32" s="9"/>
      <c r="O32" s="9"/>
      <c r="P32" s="9"/>
      <c r="Q32" s="9"/>
    </row>
    <row r="33" spans="1:17">
      <c r="A33" s="9" t="str">
        <f ca="1">IFERROR(__xludf.DUMMYFUNCTION("""COMPUTED_VALUE"""),"YD - Vesper - vETH")</f>
        <v>YD - Vesper - vETH</v>
      </c>
      <c r="B33" s="9" t="str">
        <f ca="1">IFERROR(__xludf.DUMMYFUNCTION("""COMPUTED_VALUE"""),"0x62c4a34e6988B20c2204c7a6A75395CcEAfD6e29")</f>
        <v>0x62c4a34e6988B20c2204c7a6A75395CcEAfD6e29</v>
      </c>
      <c r="C33" s="9" t="str">
        <f ca="1">IFERROR(__xludf.DUMMYFUNCTION("""COMPUTED_VALUE"""),"ETH")</f>
        <v>ETH</v>
      </c>
      <c r="D33" s="9" t="str">
        <f ca="1">IFERROR(__xludf.DUMMYFUNCTION("""COMPUTED_VALUE"""),"Live")</f>
        <v>Live</v>
      </c>
      <c r="E33" s="9" t="b">
        <f ca="1">IFERROR(__xludf.DUMMYFUNCTION("""COMPUTED_VALUE"""),TRUE)</f>
        <v>1</v>
      </c>
      <c r="F33" s="50">
        <f ca="1">IFERROR(__xludf.DUMMYFUNCTION("""COMPUTED_VALUE"""),0)</f>
        <v>0</v>
      </c>
      <c r="G33" s="50">
        <f ca="1">IFERROR(__xludf.DUMMYFUNCTION("""COMPUTED_VALUE"""),20383395.0166441)</f>
        <v>20383395.016644102</v>
      </c>
      <c r="H33" s="50">
        <f ca="1">IFERROR(__xludf.DUMMYFUNCTION("""COMPUTED_VALUE"""),20383395.0166441)</f>
        <v>20383395.016644102</v>
      </c>
      <c r="I33" s="9"/>
      <c r="J33" s="9" t="str">
        <f ca="1">IFERROR(__xludf.DUMMYFUNCTION("""COMPUTED_VALUE"""),"VETH")</f>
        <v>VETH</v>
      </c>
      <c r="K33" s="9"/>
      <c r="L33" s="30">
        <f ca="1">IFERROR(__xludf.DUMMYFUNCTION("""COMPUTED_VALUE"""),0.0176)</f>
        <v>1.7600000000000001E-2</v>
      </c>
      <c r="M33" s="9"/>
      <c r="N33" s="9"/>
      <c r="O33" s="9"/>
      <c r="P33" s="9"/>
      <c r="Q33" s="9"/>
    </row>
    <row r="34" spans="1:17">
      <c r="A34" s="9" t="str">
        <f ca="1">IFERROR(__xludf.DUMMYFUNCTION("""COMPUTED_VALUE"""),"YD - Vesper - vLINK")</f>
        <v>YD - Vesper - vLINK</v>
      </c>
      <c r="B34" s="9" t="str">
        <f ca="1">IFERROR(__xludf.DUMMYFUNCTION("""COMPUTED_VALUE"""),"0x81611aAEAC5FD8a3C21c3d1BF52B6bE70f5812d1")</f>
        <v>0x81611aAEAC5FD8a3C21c3d1BF52B6bE70f5812d1</v>
      </c>
      <c r="C34" s="9" t="str">
        <f ca="1">IFERROR(__xludf.DUMMYFUNCTION("""COMPUTED_VALUE"""),"LINK")</f>
        <v>LINK</v>
      </c>
      <c r="D34" s="9" t="str">
        <f ca="1">IFERROR(__xludf.DUMMYFUNCTION("""COMPUTED_VALUE"""),"Live")</f>
        <v>Live</v>
      </c>
      <c r="E34" s="9" t="b">
        <f ca="1">IFERROR(__xludf.DUMMYFUNCTION("""COMPUTED_VALUE"""),TRUE)</f>
        <v>1</v>
      </c>
      <c r="F34" s="50">
        <f ca="1">IFERROR(__xludf.DUMMYFUNCTION("""COMPUTED_VALUE"""),0)</f>
        <v>0</v>
      </c>
      <c r="G34" s="50">
        <f ca="1">IFERROR(__xludf.DUMMYFUNCTION("""COMPUTED_VALUE"""),16365455.3175336)</f>
        <v>16365455.317533599</v>
      </c>
      <c r="H34" s="50">
        <f ca="1">IFERROR(__xludf.DUMMYFUNCTION("""COMPUTED_VALUE"""),16365455.3175336)</f>
        <v>16365455.317533599</v>
      </c>
      <c r="I34" s="9"/>
      <c r="J34" s="9" t="str">
        <f ca="1">IFERROR(__xludf.DUMMYFUNCTION("""COMPUTED_VALUE"""),"VLINK")</f>
        <v>VLINK</v>
      </c>
      <c r="K34" s="9"/>
      <c r="L34" s="9"/>
      <c r="M34" s="30">
        <f ca="1">IFERROR(__xludf.DUMMYFUNCTION("""COMPUTED_VALUE"""),0.0626999999999999)</f>
        <v>6.2699999999999895E-2</v>
      </c>
      <c r="N34" s="9"/>
      <c r="O34" s="9"/>
      <c r="P34" s="9"/>
      <c r="Q34" s="9"/>
    </row>
    <row r="35" spans="1:17">
      <c r="A35" s="9" t="str">
        <f ca="1">IFERROR(__xludf.DUMMYFUNCTION("""COMPUTED_VALUE"""),"DD - Vesper - vUNI")</f>
        <v>DD - Vesper - vUNI</v>
      </c>
      <c r="B35" s="9" t="str">
        <f ca="1">IFERROR(__xludf.DUMMYFUNCTION("""COMPUTED_VALUE"""),"0x6054aad16aacbb974a496858105e18d39c448ca4")</f>
        <v>0x6054aad16aacbb974a496858105e18d39c448ca4</v>
      </c>
      <c r="C35" s="9" t="str">
        <f ca="1">IFERROR(__xludf.DUMMYFUNCTION("""COMPUTED_VALUE"""),"UNI")</f>
        <v>UNI</v>
      </c>
      <c r="D35" s="9" t="str">
        <f ca="1">IFERROR(__xludf.DUMMYFUNCTION("""COMPUTED_VALUE"""),"Live")</f>
        <v>Live</v>
      </c>
      <c r="E35" s="9" t="b">
        <f ca="1">IFERROR(__xludf.DUMMYFUNCTION("""COMPUTED_VALUE"""),TRUE)</f>
        <v>1</v>
      </c>
      <c r="F35" s="50">
        <f ca="1">IFERROR(__xludf.DUMMYFUNCTION("""COMPUTED_VALUE"""),0)</f>
        <v>0</v>
      </c>
      <c r="G35" s="50">
        <f ca="1">IFERROR(__xludf.DUMMYFUNCTION("""COMPUTED_VALUE"""),5357738.59026962)</f>
        <v>5357738.5902696196</v>
      </c>
      <c r="H35" s="50">
        <f ca="1">IFERROR(__xludf.DUMMYFUNCTION("""COMPUTED_VALUE"""),5357738.59026962)</f>
        <v>5357738.5902696196</v>
      </c>
      <c r="I35" s="9"/>
      <c r="J35" s="9" t="str">
        <f ca="1">IFERROR(__xludf.DUMMYFUNCTION("""COMPUTED_VALUE"""),"VUNI")</f>
        <v>VUNI</v>
      </c>
      <c r="K35" s="9"/>
      <c r="L35" s="9"/>
      <c r="M35" s="9"/>
      <c r="N35" s="9"/>
      <c r="O35" s="9"/>
      <c r="P35" s="30">
        <f ca="1">IFERROR(__xludf.DUMMYFUNCTION("""COMPUTED_VALUE"""),0.1306)</f>
        <v>0.13059999999999999</v>
      </c>
      <c r="Q35" s="9"/>
    </row>
    <row r="36" spans="1:17">
      <c r="A36" s="9" t="str">
        <f ca="1">IFERROR(__xludf.DUMMYFUNCTION("""COMPUTED_VALUE"""),"YD - Vesper - vWBTC")</f>
        <v>YD - Vesper - vWBTC</v>
      </c>
      <c r="B36" s="9" t="str">
        <f ca="1">IFERROR(__xludf.DUMMYFUNCTION("""COMPUTED_VALUE"""),"0xcab7A77dfc3B79AE4D2969a45b0036F9a11eA224")</f>
        <v>0xcab7A77dfc3B79AE4D2969a45b0036F9a11eA224</v>
      </c>
      <c r="C36" s="9" t="str">
        <f ca="1">IFERROR(__xludf.DUMMYFUNCTION("""COMPUTED_VALUE"""),"BTC")</f>
        <v>BTC</v>
      </c>
      <c r="D36" s="9" t="str">
        <f ca="1">IFERROR(__xludf.DUMMYFUNCTION("""COMPUTED_VALUE"""),"Live")</f>
        <v>Live</v>
      </c>
      <c r="E36" s="9" t="b">
        <f ca="1">IFERROR(__xludf.DUMMYFUNCTION("""COMPUTED_VALUE"""),TRUE)</f>
        <v>1</v>
      </c>
      <c r="F36" s="50">
        <f ca="1">IFERROR(__xludf.DUMMYFUNCTION("""COMPUTED_VALUE"""),0)</f>
        <v>0</v>
      </c>
      <c r="G36" s="50">
        <f ca="1">IFERROR(__xludf.DUMMYFUNCTION("""COMPUTED_VALUE"""),22283939.1755872)</f>
        <v>22283939.1755872</v>
      </c>
      <c r="H36" s="50">
        <f ca="1">IFERROR(__xludf.DUMMYFUNCTION("""COMPUTED_VALUE"""),22283939.1755872)</f>
        <v>22283939.1755872</v>
      </c>
      <c r="I36" s="9"/>
      <c r="J36" s="9" t="str">
        <f ca="1">IFERROR(__xludf.DUMMYFUNCTION("""COMPUTED_VALUE"""),"VWBTC")</f>
        <v>VWBTC</v>
      </c>
      <c r="K36" s="30">
        <f ca="1">IFERROR(__xludf.DUMMYFUNCTION("""COMPUTED_VALUE"""),0.0377)</f>
        <v>3.7699999999999997E-2</v>
      </c>
      <c r="L36" s="9"/>
      <c r="M36" s="9"/>
      <c r="N36" s="9"/>
      <c r="O36" s="9"/>
      <c r="P36" s="9"/>
      <c r="Q36" s="9"/>
    </row>
    <row r="37" spans="1:17">
      <c r="A37" s="9" t="str">
        <f ca="1">IFERROR(__xludf.DUMMYFUNCTION("""COMPUTED_VALUE"""),"YD - Yearn - crvPBTC")</f>
        <v>YD - Yearn - crvPBTC</v>
      </c>
      <c r="B37" s="9" t="str">
        <f ca="1">IFERROR(__xludf.DUMMYFUNCTION("""COMPUTED_VALUE"""),"0xE20e407F7D00ae472667481C79aFb22f0f608050")</f>
        <v>0xE20e407F7D00ae472667481C79aFb22f0f608050</v>
      </c>
      <c r="C37" s="9" t="str">
        <f ca="1">IFERROR(__xludf.DUMMYFUNCTION("""COMPUTED_VALUE"""),"BTC")</f>
        <v>BTC</v>
      </c>
      <c r="D37" s="9" t="str">
        <f ca="1">IFERROR(__xludf.DUMMYFUNCTION("""COMPUTED_VALUE"""),"Live")</f>
        <v>Live</v>
      </c>
      <c r="E37" s="9" t="b">
        <f ca="1">IFERROR(__xludf.DUMMYFUNCTION("""COMPUTED_VALUE"""),TRUE)</f>
        <v>1</v>
      </c>
      <c r="F37" s="50">
        <f ca="1">IFERROR(__xludf.DUMMYFUNCTION("""COMPUTED_VALUE"""),0)</f>
        <v>0</v>
      </c>
      <c r="G37" s="50">
        <f ca="1">IFERROR(__xludf.DUMMYFUNCTION("""COMPUTED_VALUE"""),2506541.68633274)</f>
        <v>2506541.6863327399</v>
      </c>
      <c r="H37" s="50">
        <f ca="1">IFERROR(__xludf.DUMMYFUNCTION("""COMPUTED_VALUE"""),2506541.68633274)</f>
        <v>2506541.6863327399</v>
      </c>
      <c r="I37" s="9"/>
      <c r="J37" s="9"/>
      <c r="K37" s="30">
        <f ca="1">IFERROR(__xludf.DUMMYFUNCTION("""COMPUTED_VALUE"""),0.0892)</f>
        <v>8.9200000000000002E-2</v>
      </c>
      <c r="L37" s="9"/>
      <c r="M37" s="9"/>
      <c r="N37" s="9"/>
      <c r="O37" s="9"/>
      <c r="P37" s="9"/>
      <c r="Q37" s="9"/>
    </row>
    <row r="38" spans="1:17">
      <c r="A38" s="9" t="str">
        <f ca="1">IFERROR(__xludf.DUMMYFUNCTION("""COMPUTED_VALUE"""),"Yield Desk")</f>
        <v>Yield Desk</v>
      </c>
      <c r="B38" s="9" t="str">
        <f ca="1">IFERROR(__xludf.DUMMYFUNCTION("""COMPUTED_VALUE"""),"0x5Fae4C088b1d8DddbDaffF93A648dd87A71C6dea")</f>
        <v>0x5Fae4C088b1d8DddbDaffF93A648dd87A71C6dea</v>
      </c>
      <c r="C38" s="9" t="str">
        <f ca="1">IFERROR(__xludf.DUMMYFUNCTION("""COMPUTED_VALUE"""),"Multiple")</f>
        <v>Multiple</v>
      </c>
      <c r="D38" s="9" t="str">
        <f ca="1">IFERROR(__xludf.DUMMYFUNCTION("""COMPUTED_VALUE"""),"Exited")</f>
        <v>Exited</v>
      </c>
      <c r="E38" s="9" t="b">
        <f ca="1">IFERROR(__xludf.DUMMYFUNCTION("""COMPUTED_VALUE"""),TRUE)</f>
        <v>1</v>
      </c>
      <c r="F38" s="50">
        <f ca="1">IFERROR(__xludf.DUMMYFUNCTION("""COMPUTED_VALUE"""),0)</f>
        <v>0</v>
      </c>
      <c r="G38" s="50">
        <f ca="1">IFERROR(__xludf.DUMMYFUNCTION("""COMPUTED_VALUE"""),0)</f>
        <v>0</v>
      </c>
      <c r="H38" s="50">
        <f ca="1">IFERROR(__xludf.DUMMYFUNCTION("""COMPUTED_VALUE"""),0)</f>
        <v>0</v>
      </c>
      <c r="I38" s="9" t="str">
        <f ca="1">IFERROR(__xludf.DUMMYFUNCTION("""COMPUTED_VALUE"""),"3k AAVE ($1M), 4.5 ETH ($14k) left in the balance")</f>
        <v>3k AAVE ($1M), 4.5 ETH ($14k) left in the balance</v>
      </c>
      <c r="J38" s="9"/>
      <c r="K38" s="9"/>
      <c r="L38" s="9"/>
      <c r="M38" s="9"/>
      <c r="N38" s="9"/>
      <c r="O38" s="9"/>
      <c r="P38" s="9"/>
      <c r="Q38" s="9"/>
    </row>
    <row r="39" spans="1:17">
      <c r="A39" s="9" t="str">
        <f ca="1">IFERROR(__xludf.DUMMYFUNCTION("""COMPUTED_VALUE"""),"Yield Desk - Badger")</f>
        <v>Yield Desk - Badger</v>
      </c>
      <c r="B39" s="9" t="str">
        <f ca="1">IFERROR(__xludf.DUMMYFUNCTION("""COMPUTED_VALUE"""),"0x53461E4fddcC1385f1256Ae24ce3505Be664f249")</f>
        <v>0x53461E4fddcC1385f1256Ae24ce3505Be664f249</v>
      </c>
      <c r="C39" s="9" t="str">
        <f ca="1">IFERROR(__xludf.DUMMYFUNCTION("""COMPUTED_VALUE"""),"BTC")</f>
        <v>BTC</v>
      </c>
      <c r="D39" s="9" t="str">
        <f ca="1">IFERROR(__xludf.DUMMYFUNCTION("""COMPUTED_VALUE"""),"Live")</f>
        <v>Live</v>
      </c>
      <c r="E39" s="9" t="b">
        <f ca="1">IFERROR(__xludf.DUMMYFUNCTION("""COMPUTED_VALUE"""),TRUE)</f>
        <v>1</v>
      </c>
      <c r="F39" s="50">
        <f ca="1">IFERROR(__xludf.DUMMYFUNCTION("""COMPUTED_VALUE"""),0)</f>
        <v>0</v>
      </c>
      <c r="G39" s="50">
        <f ca="1">IFERROR(__xludf.DUMMYFUNCTION("""COMPUTED_VALUE"""),180062885.346106)</f>
        <v>180062885.34610599</v>
      </c>
      <c r="H39" s="50">
        <f ca="1">IFERROR(__xludf.DUMMYFUNCTION("""COMPUTED_VALUE"""),180062885.346106)</f>
        <v>180062885.34610599</v>
      </c>
      <c r="I39" s="9"/>
      <c r="J39" s="9"/>
      <c r="K39" s="30" t="str">
        <f ca="1">IFERROR(__xludf.DUMMYFUNCTION("""COMPUTED_VALUE"""),"#N/A")</f>
        <v>#N/A</v>
      </c>
      <c r="L39" s="9"/>
      <c r="M39" s="9"/>
      <c r="N39" s="9"/>
      <c r="O39" s="9"/>
      <c r="P39" s="9"/>
      <c r="Q39" s="9"/>
    </row>
    <row r="40" spans="1:17">
      <c r="A40" s="9" t="str">
        <f ca="1">IFERROR(__xludf.DUMMYFUNCTION("""COMPUTED_VALUE"""),"Yield Desk - Bancor")</f>
        <v>Yield Desk - Bancor</v>
      </c>
      <c r="B40" s="9" t="str">
        <f ca="1">IFERROR(__xludf.DUMMYFUNCTION("""COMPUTED_VALUE"""),"0xf73C37dF30571b9b58dA19C7473964369011DBeC")</f>
        <v>0xf73C37dF30571b9b58dA19C7473964369011DBeC</v>
      </c>
      <c r="C40" s="9" t="str">
        <f ca="1">IFERROR(__xludf.DUMMYFUNCTION("""COMPUTED_VALUE"""),"Multiple")</f>
        <v>Multiple</v>
      </c>
      <c r="D40" s="9" t="str">
        <f ca="1">IFERROR(__xludf.DUMMYFUNCTION("""COMPUTED_VALUE"""),"Live")</f>
        <v>Live</v>
      </c>
      <c r="E40" s="9" t="b">
        <f ca="1">IFERROR(__xludf.DUMMYFUNCTION("""COMPUTED_VALUE"""),TRUE)</f>
        <v>1</v>
      </c>
      <c r="F40" s="50">
        <f ca="1">IFERROR(__xludf.DUMMYFUNCTION("""COMPUTED_VALUE"""),0)</f>
        <v>0</v>
      </c>
      <c r="G40" s="50">
        <f ca="1">IFERROR(__xludf.DUMMYFUNCTION("""COMPUTED_VALUE"""),102540101.942884)</f>
        <v>102540101.942884</v>
      </c>
      <c r="H40" s="50">
        <f ca="1">IFERROR(__xludf.DUMMYFUNCTION("""COMPUTED_VALUE"""),102540101.942884)</f>
        <v>102540101.942884</v>
      </c>
      <c r="I40" s="9"/>
      <c r="J40" s="9"/>
      <c r="K40" s="30">
        <f ca="1">IFERROR(__xludf.DUMMYFUNCTION("""COMPUTED_VALUE"""),0.0800999999999999)</f>
        <v>8.0099999999999894E-2</v>
      </c>
      <c r="L40" s="30">
        <f ca="1">IFERROR(__xludf.DUMMYFUNCTION("""COMPUTED_VALUE"""),0.0487)</f>
        <v>4.87E-2</v>
      </c>
      <c r="M40" s="30">
        <f ca="1">IFERROR(__xludf.DUMMYFUNCTION("""COMPUTED_VALUE"""),0.1287)</f>
        <v>0.12870000000000001</v>
      </c>
      <c r="N40" s="9"/>
      <c r="O40" s="9"/>
      <c r="P40" s="9"/>
      <c r="Q40" s="9"/>
    </row>
    <row r="41" spans="1:17">
      <c r="A41" s="9" t="str">
        <f ca="1">IFERROR(__xludf.DUMMYFUNCTION("""COMPUTED_VALUE"""),"Yield Desk - Compound")</f>
        <v>Yield Desk - Compound</v>
      </c>
      <c r="B41" s="9" t="str">
        <f ca="1">IFERROR(__xludf.DUMMYFUNCTION("""COMPUTED_VALUE"""),"0x62Ff145f987dD7fbBcEC2FEec76FA89E19778aBd")</f>
        <v>0x62Ff145f987dD7fbBcEC2FEec76FA89E19778aBd</v>
      </c>
      <c r="C41" s="9" t="str">
        <f ca="1">IFERROR(__xludf.DUMMYFUNCTION("""COMPUTED_VALUE"""),"LINK")</f>
        <v>LINK</v>
      </c>
      <c r="D41" s="9" t="str">
        <f ca="1">IFERROR(__xludf.DUMMYFUNCTION("""COMPUTED_VALUE"""),"Live")</f>
        <v>Live</v>
      </c>
      <c r="E41" s="9" t="b">
        <f ca="1">IFERROR(__xludf.DUMMYFUNCTION("""COMPUTED_VALUE"""),TRUE)</f>
        <v>1</v>
      </c>
      <c r="F41" s="50">
        <f ca="1">IFERROR(__xludf.DUMMYFUNCTION("""COMPUTED_VALUE"""),0)</f>
        <v>0</v>
      </c>
      <c r="G41" s="50">
        <f ca="1">IFERROR(__xludf.DUMMYFUNCTION("""COMPUTED_VALUE"""),0.998728471283558)</f>
        <v>0.99872847128355802</v>
      </c>
      <c r="H41" s="50">
        <f ca="1">IFERROR(__xludf.DUMMYFUNCTION("""COMPUTED_VALUE"""),0.998728471283558)</f>
        <v>0.99872847128355802</v>
      </c>
      <c r="I41" s="9"/>
      <c r="J41" s="9"/>
      <c r="K41" s="9"/>
      <c r="L41" s="9"/>
      <c r="M41" s="30">
        <f ca="1">IFERROR(__xludf.DUMMYFUNCTION("""COMPUTED_VALUE"""),0.0140999999999999)</f>
        <v>1.4099999999999901E-2</v>
      </c>
      <c r="N41" s="9"/>
      <c r="O41" s="9"/>
      <c r="P41" s="9"/>
      <c r="Q41" s="9"/>
    </row>
    <row r="42" spans="1:17">
      <c r="A42" s="9" t="str">
        <f ca="1">IFERROR(__xludf.DUMMYFUNCTION("""COMPUTED_VALUE"""),"YieldDesk_Main")</f>
        <v>YieldDesk_Main</v>
      </c>
      <c r="B42" s="9" t="str">
        <f ca="1">IFERROR(__xludf.DUMMYFUNCTION("""COMPUTED_VALUE"""),"0xdb5AA12AD695Ef2a28C6CdB69f2BB04BEd20a48e")</f>
        <v>0xdb5AA12AD695Ef2a28C6CdB69f2BB04BEd20a48e</v>
      </c>
      <c r="C42" s="9" t="str">
        <f ca="1">IFERROR(__xludf.DUMMYFUNCTION("""COMPUTED_VALUE"""),"Multiple")</f>
        <v>Multiple</v>
      </c>
      <c r="D42" s="9" t="str">
        <f ca="1">IFERROR(__xludf.DUMMYFUNCTION("""COMPUTED_VALUE"""),"Live")</f>
        <v>Live</v>
      </c>
      <c r="E42" s="9" t="b">
        <f ca="1">IFERROR(__xludf.DUMMYFUNCTION("""COMPUTED_VALUE"""),FALSE)</f>
        <v>0</v>
      </c>
      <c r="F42" s="50">
        <f ca="1">IFERROR(__xludf.DUMMYFUNCTION("""COMPUTED_VALUE"""),0)</f>
        <v>0</v>
      </c>
      <c r="G42" s="50">
        <f ca="1">IFERROR(__xludf.DUMMYFUNCTION("""COMPUTED_VALUE"""),0)</f>
        <v>0</v>
      </c>
      <c r="H42" s="50">
        <f ca="1">IFERROR(__xludf.DUMMYFUNCTION("""COMPUTED_VALUE"""),0)</f>
        <v>0</v>
      </c>
      <c r="I42" s="9"/>
      <c r="J42" s="9"/>
      <c r="K42" s="30">
        <f ca="1">IFERROR(__xludf.DUMMYFUNCTION("""COMPUTED_VALUE"""),0.0800999999999999)</f>
        <v>8.0099999999999894E-2</v>
      </c>
      <c r="L42" s="30">
        <f ca="1">IFERROR(__xludf.DUMMYFUNCTION("""COMPUTED_VALUE"""),0.0487)</f>
        <v>4.87E-2</v>
      </c>
      <c r="M42" s="30">
        <f ca="1">IFERROR(__xludf.DUMMYFUNCTION("""COMPUTED_VALUE"""),0.1287)</f>
        <v>0.12870000000000001</v>
      </c>
      <c r="N42" s="9"/>
      <c r="O42" s="9"/>
      <c r="P42" s="9"/>
      <c r="Q42" s="30">
        <f ca="1">IFERROR(__xludf.DUMMYFUNCTION("""COMPUTED_VALUE"""),0.0139)</f>
        <v>1.3899999999999999E-2</v>
      </c>
    </row>
    <row r="43" spans="1:17">
      <c r="A43" s="9" t="str">
        <f ca="1">IFERROR(__xludf.DUMMYFUNCTION("""COMPUTED_VALUE"""),"BlockDemon ETH Staking")</f>
        <v>BlockDemon ETH Staking</v>
      </c>
      <c r="B43" s="9" t="str">
        <f ca="1">IFERROR(__xludf.DUMMYFUNCTION("""COMPUTED_VALUE"""),"0xeEE27662c2B8EBa3CD936A23F039F3189633e4C8")</f>
        <v>0xeEE27662c2B8EBa3CD936A23F039F3189633e4C8</v>
      </c>
      <c r="C43" s="9" t="str">
        <f ca="1">IFERROR(__xludf.DUMMYFUNCTION("""COMPUTED_VALUE"""),"ETH")</f>
        <v>ETH</v>
      </c>
      <c r="D43" s="9" t="str">
        <f ca="1">IFERROR(__xludf.DUMMYFUNCTION("""COMPUTED_VALUE"""),"Live")</f>
        <v>Live</v>
      </c>
      <c r="E43" s="9" t="b">
        <f ca="1">IFERROR(__xludf.DUMMYFUNCTION("""COMPUTED_VALUE"""),TRUE)</f>
        <v>1</v>
      </c>
      <c r="F43" s="9"/>
      <c r="G43" s="9"/>
      <c r="H43" s="9"/>
      <c r="I43" s="9"/>
      <c r="J43" s="9"/>
      <c r="K43" s="9"/>
      <c r="L43" s="30">
        <f ca="1">IFERROR(__xludf.DUMMYFUNCTION("""COMPUTED_VALUE"""),0.06)</f>
        <v>0.06</v>
      </c>
      <c r="M43" s="9"/>
      <c r="N43" s="9"/>
      <c r="O43" s="9"/>
      <c r="P43" s="9"/>
      <c r="Q43" s="9"/>
    </row>
    <row r="44" spans="1:17">
      <c r="A44" s="9" t="str">
        <f ca="1">IFERROR(__xludf.DUMMYFUNCTION("""COMPUTED_VALUE"""),"YFL")</f>
        <v>YFL</v>
      </c>
      <c r="B44" s="9" t="str">
        <f ca="1">IFERROR(__xludf.DUMMYFUNCTION("""COMPUTED_VALUE"""),"0x022064C9F712B52D7Afff7263527EAbEBF59a71C")</f>
        <v>0x022064C9F712B52D7Afff7263527EAbEBF59a71C</v>
      </c>
      <c r="C44" s="9" t="str">
        <f ca="1">IFERROR(__xludf.DUMMYFUNCTION("""COMPUTED_VALUE"""),"Multiple")</f>
        <v>Multiple</v>
      </c>
      <c r="D44" s="9" t="str">
        <f ca="1">IFERROR(__xludf.DUMMYFUNCTION("""COMPUTED_VALUE"""),"Live")</f>
        <v>Live</v>
      </c>
      <c r="E44" s="9" t="b">
        <f ca="1">IFERROR(__xludf.DUMMYFUNCTION("""COMPUTED_VALUE"""),TRUE)</f>
        <v>1</v>
      </c>
      <c r="F44" s="9"/>
      <c r="G44" s="9"/>
      <c r="H44" s="9"/>
      <c r="I44" s="9" t="str">
        <f ca="1">IFERROR(__xludf.DUMMYFUNCTION("""COMPUTED_VALUE"""),"Wallet name change, Old name:'DD - Polygon - Testing'
")</f>
        <v xml:space="preserve">Wallet name change, Old name:'DD - Polygon - Testing'
</v>
      </c>
      <c r="J44" s="9"/>
      <c r="K44" s="9"/>
      <c r="L44" s="9"/>
      <c r="M44" s="9"/>
      <c r="N44" s="9"/>
      <c r="O44" s="9"/>
      <c r="P44" s="9"/>
      <c r="Q44" s="9"/>
    </row>
    <row r="45" spans="1:17">
      <c r="A45" s="9" t="str">
        <f ca="1">IFERROR(__xludf.DUMMYFUNCTION("""COMPUTED_VALUE"""),"DD - Liquity - LUSD")</f>
        <v>DD - Liquity - LUSD</v>
      </c>
      <c r="B45" s="9" t="str">
        <f ca="1">IFERROR(__xludf.DUMMYFUNCTION("""COMPUTED_VALUE"""),"0x7aD6a48C39B82c61100E76264182A6A31587a242")</f>
        <v>0x7aD6a48C39B82c61100E76264182A6A31587a242</v>
      </c>
      <c r="C45" s="9" t="str">
        <f ca="1">IFERROR(__xludf.DUMMYFUNCTION("""COMPUTED_VALUE"""),"USDC")</f>
        <v>USDC</v>
      </c>
      <c r="D45" s="9" t="str">
        <f ca="1">IFERROR(__xludf.DUMMYFUNCTION("""COMPUTED_VALUE"""),"Live")</f>
        <v>Live</v>
      </c>
      <c r="E45" s="9" t="b">
        <f ca="1">IFERROR(__xludf.DUMMYFUNCTION("""COMPUTED_VALUE"""),TRUE)</f>
        <v>1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</row>
    <row r="46" spans="1:17">
      <c r="A46" s="9" t="str">
        <f ca="1">IFERROR(__xludf.DUMMYFUNCTION("""COMPUTED_VALUE"""),"DD - Badger - tBTC")</f>
        <v>DD - Badger - tBTC</v>
      </c>
      <c r="B46" s="9" t="str">
        <f ca="1">IFERROR(__xludf.DUMMYFUNCTION("""COMPUTED_VALUE"""),"0xEE9F84Af6a8251Eb5ffDe38c5F056bc72d3b3DD0")</f>
        <v>0xEE9F84Af6a8251Eb5ffDe38c5F056bc72d3b3DD0</v>
      </c>
      <c r="C46" s="9" t="str">
        <f ca="1">IFERROR(__xludf.DUMMYFUNCTION("""COMPUTED_VALUE"""),"BTC")</f>
        <v>BTC</v>
      </c>
      <c r="D46" s="9" t="str">
        <f ca="1">IFERROR(__xludf.DUMMYFUNCTION("""COMPUTED_VALUE"""),"Live")</f>
        <v>Live</v>
      </c>
      <c r="E46" s="9" t="b">
        <f ca="1">IFERROR(__xludf.DUMMYFUNCTION("""COMPUTED_VALUE"""),TRUE)</f>
        <v>1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</row>
    <row r="47" spans="1:17">
      <c r="A47" s="9" t="str">
        <f ca="1">IFERROR(__xludf.DUMMYFUNCTION("""COMPUTED_VALUE"""),"YD - Convex - tricrypto2")</f>
        <v>YD - Convex - tricrypto2</v>
      </c>
      <c r="B47" s="9" t="str">
        <f ca="1">IFERROR(__xludf.DUMMYFUNCTION("""COMPUTED_VALUE"""),"0x73cAe59e9D6e73b43AD32De120b456783F72B7Aa")</f>
        <v>0x73cAe59e9D6e73b43AD32De120b456783F72B7Aa</v>
      </c>
      <c r="C47" s="9" t="str">
        <f ca="1">IFERROR(__xludf.DUMMYFUNCTION("""COMPUTED_VALUE"""),"Multiple")</f>
        <v>Multiple</v>
      </c>
      <c r="D47" s="9"/>
      <c r="E47" s="9"/>
      <c r="F47" s="9"/>
      <c r="G47" s="9"/>
      <c r="H47" s="9"/>
      <c r="I47" s="9" t="str">
        <f ca="1">IFERROR(__xludf.DUMMYFUNCTION("""COMPUTED_VALUE"""),"Wallet name change, Old name:'YD-Curve-tricrypto2'
")</f>
        <v xml:space="preserve">Wallet name change, Old name:'YD-Curve-tricrypto2'
</v>
      </c>
      <c r="J47" s="9"/>
      <c r="K47" s="9"/>
      <c r="L47" s="9"/>
      <c r="M47" s="9"/>
      <c r="N47" s="9"/>
      <c r="O47" s="9"/>
      <c r="P47" s="9"/>
      <c r="Q47" s="9"/>
    </row>
    <row r="48" spans="1:17">
      <c r="A48" s="9" t="str">
        <f ca="1">IFERROR(__xludf.DUMMYFUNCTION("""COMPUTED_VALUE"""),"DD-Elrond-EGLD ")</f>
        <v xml:space="preserve">DD-Elrond-EGLD </v>
      </c>
      <c r="B48" s="9"/>
      <c r="C48" s="9"/>
      <c r="D48" s="9" t="str">
        <f ca="1">IFERROR(__xludf.DUMMYFUNCTION("""COMPUTED_VALUE"""),"Live")</f>
        <v>Live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</row>
    <row r="49" spans="1:17">
      <c r="A49" s="9" t="str">
        <f ca="1">IFERROR(__xludf.DUMMYFUNCTION("""COMPUTED_VALUE"""),"DD-CONVEX-ALETH")</f>
        <v>DD-CONVEX-ALETH</v>
      </c>
      <c r="B49" s="9"/>
      <c r="C49" s="9"/>
      <c r="D49" s="9" t="str">
        <f ca="1">IFERROR(__xludf.DUMMYFUNCTION("""COMPUTED_VALUE"""),"Live")</f>
        <v>Live</v>
      </c>
      <c r="E49" s="9"/>
      <c r="F49" s="9"/>
      <c r="G49" s="9"/>
      <c r="H49" s="9"/>
      <c r="I49" s="9"/>
      <c r="J49" s="9"/>
      <c r="K49" s="9"/>
      <c r="L49" s="51">
        <f ca="1">IFERROR(__xludf.DUMMYFUNCTION("""COMPUTED_VALUE"""),0.15)</f>
        <v>0.15</v>
      </c>
      <c r="M49" s="9"/>
      <c r="N49" s="9"/>
      <c r="O49" s="9"/>
      <c r="P49" s="9"/>
      <c r="Q49" s="9"/>
    </row>
    <row r="50" spans="1:17">
      <c r="A50" s="9" t="str">
        <f ca="1">IFERROR(__xludf.DUMMYFUNCTION("""COMPUTED_VALUE"""),"DD-SHIBASWAP-WBTC")</f>
        <v>DD-SHIBASWAP-WBTC</v>
      </c>
      <c r="B50" s="9"/>
      <c r="C50" s="9"/>
      <c r="D50" s="9"/>
      <c r="E50" s="9"/>
      <c r="F50" s="9"/>
      <c r="G50" s="9"/>
      <c r="H50" s="9"/>
      <c r="I50" s="9"/>
      <c r="J50" s="9"/>
      <c r="K50" s="51">
        <f ca="1">IFERROR(__xludf.DUMMYFUNCTION("""COMPUTED_VALUE"""),0.28)</f>
        <v>0.28000000000000003</v>
      </c>
      <c r="L50" s="9"/>
      <c r="M50" s="9"/>
      <c r="N50" s="9"/>
      <c r="O50" s="9"/>
      <c r="P50" s="9"/>
      <c r="Q50" s="9"/>
    </row>
    <row r="51" spans="1:17">
      <c r="A51" s="9" t="str">
        <f ca="1">IFERROR(__xludf.DUMMYFUNCTION("""COMPUTED_VALUE"""),"DD-NOTIONAL-WBTC")</f>
        <v>DD-NOTIONAL-WBTC</v>
      </c>
      <c r="B51" s="9"/>
      <c r="C51" s="9"/>
      <c r="D51" s="9"/>
      <c r="E51" s="9"/>
      <c r="F51" s="9"/>
      <c r="G51" s="9"/>
      <c r="H51" s="9"/>
      <c r="I51" s="9"/>
      <c r="J51" s="9"/>
      <c r="K51" s="30">
        <f ca="1">IFERROR(__xludf.DUMMYFUNCTION("""COMPUTED_VALUE"""),0.067)</f>
        <v>6.7000000000000004E-2</v>
      </c>
      <c r="L51" s="9"/>
      <c r="M51" s="9"/>
      <c r="N51" s="9"/>
      <c r="O51" s="9"/>
      <c r="P51" s="9"/>
      <c r="Q51" s="9"/>
    </row>
    <row r="52" spans="1:17">
      <c r="A52" s="9" t="str">
        <f ca="1">IFERROR(__xludf.DUMMYFUNCTION("""COMPUTED_VALUE"""),"DD-NOTIONAL-ETH")</f>
        <v>DD-NOTIONAL-ETH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30">
        <f ca="1">IFERROR(__xludf.DUMMYFUNCTION("""COMPUTED_VALUE"""),0.055)</f>
        <v>5.5E-2</v>
      </c>
      <c r="M52" s="9"/>
      <c r="N52" s="9"/>
      <c r="O52" s="9"/>
      <c r="P52" s="9"/>
      <c r="Q52" s="9"/>
    </row>
    <row r="53" spans="1:17">
      <c r="A53" s="9" t="str">
        <f ca="1">IFERROR(__xludf.DUMMYFUNCTION("""COMPUTED_VALUE"""),"DD-Yearn-ETH")</f>
        <v>DD-Yearn-ETH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30">
        <f ca="1">IFERROR(__xludf.DUMMYFUNCTION("""COMPUTED_VALUE"""),0.0133)</f>
        <v>1.3299999999999999E-2</v>
      </c>
      <c r="M53" s="9"/>
      <c r="N53" s="9"/>
      <c r="O53" s="9"/>
      <c r="P53" s="9"/>
      <c r="Q53" s="9"/>
    </row>
    <row r="54" spans="1:17">
      <c r="A54" s="9" t="str">
        <f ca="1">IFERROR(__xludf.DUMMYFUNCTION("""COMPUTED_VALUE"""),"DD-Yearn-WBTC")</f>
        <v>DD-Yearn-WBTC</v>
      </c>
      <c r="B54" s="9"/>
      <c r="C54" s="9"/>
      <c r="D54" s="9"/>
      <c r="E54" s="9"/>
      <c r="F54" s="9"/>
      <c r="G54" s="9"/>
      <c r="H54" s="9"/>
      <c r="I54" s="9"/>
      <c r="J54" s="9"/>
      <c r="K54" s="51">
        <f ca="1">IFERROR(__xludf.DUMMYFUNCTION("""COMPUTED_VALUE"""),0.03)</f>
        <v>0.03</v>
      </c>
      <c r="L54" s="9"/>
      <c r="M54" s="9"/>
      <c r="N54" s="9"/>
      <c r="O54" s="9"/>
      <c r="P54" s="9"/>
      <c r="Q54" s="9"/>
    </row>
    <row r="55" spans="1:17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</row>
    <row r="56" spans="1:17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</row>
    <row r="57" spans="1:1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</row>
    <row r="58" spans="1:17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</row>
    <row r="59" spans="1:17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</row>
    <row r="60" spans="1:17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</row>
    <row r="61" spans="1:17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</row>
    <row r="62" spans="1:17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</row>
    <row r="63" spans="1:17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</row>
    <row r="64" spans="1:17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164"/>
  <sheetViews>
    <sheetView workbookViewId="0"/>
  </sheetViews>
  <sheetFormatPr baseColWidth="10" defaultColWidth="12.6640625" defaultRowHeight="15" customHeight="1"/>
  <cols>
    <col min="2" max="2" width="16.5" customWidth="1"/>
    <col min="3" max="3" width="21.1640625" customWidth="1"/>
    <col min="4" max="4" width="18.1640625" customWidth="1"/>
    <col min="5" max="5" width="16.6640625" customWidth="1"/>
  </cols>
  <sheetData>
    <row r="1" spans="1:5">
      <c r="A1" s="52" t="str">
        <f ca="1">IFERROR(__xludf.DUMMYFUNCTION("IMPORTRANGE(""https://docs.google.com/spreadsheets/d/1gXAO2GNyEKylLtfGmhTYfO8S7zp-qMFYhPViOnaf5qk/edit#gid=1359329667"",""Dashboard!T1:X6"")"),"APYs")</f>
        <v>APYs</v>
      </c>
      <c r="B1" s="9" t="str">
        <f ca="1">IFERROR(__xludf.DUMMYFUNCTION("""COMPUTED_VALUE"""),"Daily")</f>
        <v>Daily</v>
      </c>
      <c r="C1" s="53">
        <f ca="1">IFERROR(__xludf.DUMMYFUNCTION("""COMPUTED_VALUE"""),44536)</f>
        <v>44536</v>
      </c>
      <c r="D1" s="9" t="str">
        <f ca="1">IFERROR(__xludf.DUMMYFUNCTION("""COMPUTED_VALUE"""),"Weekly as of")</f>
        <v>Weekly as of</v>
      </c>
      <c r="E1" s="53">
        <f ca="1">IFERROR(__xludf.DUMMYFUNCTION("""COMPUTED_VALUE"""),44533)</f>
        <v>44533</v>
      </c>
    </row>
    <row r="2" spans="1:5">
      <c r="A2" s="9"/>
      <c r="B2" s="9" t="str">
        <f ca="1">IFERROR(__xludf.DUMMYFUNCTION("""COMPUTED_VALUE"""),"USD Balance")</f>
        <v>USD Balance</v>
      </c>
      <c r="C2" s="9" t="str">
        <f ca="1">IFERROR(__xludf.DUMMYFUNCTION("""COMPUTED_VALUE"""),"Funding (+ collateral)")</f>
        <v>Funding (+ collateral)</v>
      </c>
      <c r="D2" s="9" t="str">
        <f ca="1">IFERROR(__xludf.DUMMYFUNCTION("""COMPUTED_VALUE"""),"USD Balance")</f>
        <v>USD Balance</v>
      </c>
      <c r="E2" s="9" t="str">
        <f ca="1">IFERROR(__xludf.DUMMYFUNCTION("""COMPUTED_VALUE"""),"Funding (+ collateral)")</f>
        <v>Funding (+ collateral)</v>
      </c>
    </row>
    <row r="3" spans="1:5">
      <c r="A3" s="9" t="str">
        <f ca="1">IFERROR(__xludf.DUMMYFUNCTION("""COMPUTED_VALUE"""),"CnC")</f>
        <v>CnC</v>
      </c>
      <c r="B3" s="30">
        <f ca="1">IFERROR(__xludf.DUMMYFUNCTION("""COMPUTED_VALUE"""),-0.204966559615167)</f>
        <v>-0.20496655961516699</v>
      </c>
      <c r="C3" s="30">
        <f ca="1">IFERROR(__xludf.DUMMYFUNCTION("""COMPUTED_VALUE"""),-0.282475560318779)</f>
        <v>-0.28247556031877902</v>
      </c>
      <c r="D3" s="30">
        <f ca="1">IFERROR(__xludf.DUMMYFUNCTION("""COMPUTED_VALUE"""),-0.0914418291956364)</f>
        <v>-9.1441829195636398E-2</v>
      </c>
      <c r="E3" s="30">
        <f ca="1">IFERROR(__xludf.DUMMYFUNCTION("""COMPUTED_VALUE"""),-0.126020956721469)</f>
        <v>-0.12602095672146901</v>
      </c>
    </row>
    <row r="4" spans="1:5">
      <c r="A4" s="9" t="str">
        <f ca="1">IFERROR(__xludf.DUMMYFUNCTION("""COMPUTED_VALUE"""),"Futures MM")</f>
        <v>Futures MM</v>
      </c>
      <c r="B4" s="30">
        <f ca="1">IFERROR(__xludf.DUMMYFUNCTION("""COMPUTED_VALUE"""),-10.62198525531)</f>
        <v>-10.621985255309999</v>
      </c>
      <c r="C4" s="30">
        <f ca="1">IFERROR(__xludf.DUMMYFUNCTION("""COMPUTED_VALUE"""),-13.9235301092015)</f>
        <v>-13.923530109201501</v>
      </c>
      <c r="D4" s="30">
        <f ca="1">IFERROR(__xludf.DUMMYFUNCTION("""COMPUTED_VALUE"""),-7.11547060426157)</f>
        <v>-7.1154706042615699</v>
      </c>
      <c r="E4" s="30">
        <f ca="1">IFERROR(__xludf.DUMMYFUNCTION("""COMPUTED_VALUE"""),-9.32711417105829)</f>
        <v>-9.3271141710582892</v>
      </c>
    </row>
    <row r="5" spans="1:5">
      <c r="A5" s="9" t="str">
        <f ca="1">IFERROR(__xludf.DUMMYFUNCTION("""COMPUTED_VALUE"""),"Directional Trading 2")</f>
        <v>Directional Trading 2</v>
      </c>
      <c r="B5" s="30">
        <f ca="1">IFERROR(__xludf.DUMMYFUNCTION("""COMPUTED_VALUE"""),-0.0286174235638894)</f>
        <v>-2.86174235638894E-2</v>
      </c>
      <c r="C5" s="30">
        <f ca="1">IFERROR(__xludf.DUMMYFUNCTION("""COMPUTED_VALUE"""),0.000797003870505318)</f>
        <v>7.9700387050531802E-4</v>
      </c>
      <c r="D5" s="30">
        <f ca="1">IFERROR(__xludf.DUMMYFUNCTION("""COMPUTED_VALUE"""),-0.0344814969554344)</f>
        <v>-3.4481496955434399E-2</v>
      </c>
      <c r="E5" s="30">
        <f ca="1">IFERROR(__xludf.DUMMYFUNCTION("""COMPUTED_VALUE"""),0.00096032008167836)</f>
        <v>9.6032008167836001E-4</v>
      </c>
    </row>
    <row r="6" spans="1:5">
      <c r="A6" s="9" t="str">
        <f ca="1">IFERROR(__xludf.DUMMYFUNCTION("""COMPUTED_VALUE"""),"Solana")</f>
        <v>Solana</v>
      </c>
      <c r="B6" s="30">
        <f ca="1">IFERROR(__xludf.DUMMYFUNCTION("""COMPUTED_VALUE"""),-2.05541381119615)</f>
        <v>-2.05541381119615</v>
      </c>
      <c r="C6" s="30">
        <f ca="1">IFERROR(__xludf.DUMMYFUNCTION("""COMPUTED_VALUE"""),-0.0927406163709287)</f>
        <v>-9.2740616370928702E-2</v>
      </c>
      <c r="D6" s="30" t="str">
        <f ca="1">IFERROR(__xludf.DUMMYFUNCTION("""COMPUTED_VALUE"""),"#N/A")</f>
        <v>#N/A</v>
      </c>
      <c r="E6" s="30" t="str">
        <f ca="1">IFERROR(__xludf.DUMMYFUNCTION("""COMPUTED_VALUE"""),"#N/A")</f>
        <v>#N/A</v>
      </c>
    </row>
    <row r="22" spans="1:3">
      <c r="A22" s="54" t="str">
        <f ca="1">IFERROR(__xludf.DUMMYFUNCTION("IMPORTRANGE(""https://docs.google.com/spreadsheets/d/1gXAO2GNyEKylLtfGmhTYfO8S7zp-qMFYhPViOnaf5qk/edit#gid=1359329667"",""Dashboard!b18:c160"")"),"CeFi Strategies")</f>
        <v>CeFi Strategies</v>
      </c>
      <c r="B22" s="9" t="str">
        <f ca="1">IFERROR(__xludf.DUMMYFUNCTION("""COMPUTED_VALUE"""),"Coin")</f>
        <v>Coin</v>
      </c>
      <c r="C22" s="55" t="str">
        <f ca="1">IFERROR(__xludf.DUMMYFUNCTION("IMPORTRANGE(""https://docs.google.com/spreadsheets/d/1gXAO2GNyEKylLtfGmhTYfO8S7zp-qMFYhPViOnaf5qk/edit#gid=1359329667"",""Dashboard!M18:m160"")"),"APY")</f>
        <v>APY</v>
      </c>
    </row>
    <row r="23" spans="1:3">
      <c r="A23" s="9" t="str">
        <f ca="1">IFERROR(__xludf.DUMMYFUNCTION("""COMPUTED_VALUE"""),"Cash and Carry")</f>
        <v>Cash and Carry</v>
      </c>
      <c r="B23" s="9" t="str">
        <f ca="1">IFERROR(__xludf.DUMMYFUNCTION("""COMPUTED_VALUE"""),"BTC/USD")</f>
        <v>BTC/USD</v>
      </c>
      <c r="C23" s="9"/>
    </row>
    <row r="24" spans="1:3">
      <c r="A24" s="9" t="str">
        <f ca="1">IFERROR(__xludf.DUMMYFUNCTION("""COMPUTED_VALUE"""),"Cash and Carry")</f>
        <v>Cash and Carry</v>
      </c>
      <c r="B24" s="9" t="str">
        <f ca="1">IFERROR(__xludf.DUMMYFUNCTION("""COMPUTED_VALUE"""),"BTC-PERP")</f>
        <v>BTC-PERP</v>
      </c>
      <c r="C24" s="30">
        <f ca="1">IFERROR(__xludf.DUMMYFUNCTION("""COMPUTED_VALUE"""),-0.0438)</f>
        <v>-4.3799999999999999E-2</v>
      </c>
    </row>
    <row r="25" spans="1:3">
      <c r="A25" s="9"/>
      <c r="B25" s="9"/>
      <c r="C25" s="9"/>
    </row>
    <row r="26" spans="1:3">
      <c r="A26" s="9" t="str">
        <f ca="1">IFERROR(__xludf.DUMMYFUNCTION("""COMPUTED_VALUE"""),"Cash and Carry")</f>
        <v>Cash and Carry</v>
      </c>
      <c r="B26" s="9" t="str">
        <f ca="1">IFERROR(__xludf.DUMMYFUNCTION("""COMPUTED_VALUE"""),"ETH/USD")</f>
        <v>ETH/USD</v>
      </c>
      <c r="C26" s="9"/>
    </row>
    <row r="27" spans="1:3">
      <c r="A27" s="9" t="str">
        <f ca="1">IFERROR(__xludf.DUMMYFUNCTION("""COMPUTED_VALUE"""),"Cash and Carry")</f>
        <v>Cash and Carry</v>
      </c>
      <c r="B27" s="9" t="str">
        <f ca="1">IFERROR(__xludf.DUMMYFUNCTION("""COMPUTED_VALUE"""),"ETH-PERP")</f>
        <v>ETH-PERP</v>
      </c>
      <c r="C27" s="30">
        <f ca="1">IFERROR(__xludf.DUMMYFUNCTION("""COMPUTED_VALUE"""),0)</f>
        <v>0</v>
      </c>
    </row>
    <row r="28" spans="1:3">
      <c r="A28" s="9"/>
      <c r="B28" s="9"/>
      <c r="C28" s="9"/>
    </row>
    <row r="29" spans="1:3">
      <c r="A29" s="9" t="str">
        <f ca="1">IFERROR(__xludf.DUMMYFUNCTION("""COMPUTED_VALUE"""),"Cash and Carry")</f>
        <v>Cash and Carry</v>
      </c>
      <c r="B29" s="9" t="str">
        <f ca="1">IFERROR(__xludf.DUMMYFUNCTION("""COMPUTED_VALUE"""),"ALICE/USD")</f>
        <v>ALICE/USD</v>
      </c>
      <c r="C29" s="9"/>
    </row>
    <row r="30" spans="1:3">
      <c r="A30" s="9" t="str">
        <f ca="1">IFERROR(__xludf.DUMMYFUNCTION("""COMPUTED_VALUE"""),"Cash and Carry")</f>
        <v>Cash and Carry</v>
      </c>
      <c r="B30" s="9" t="str">
        <f ca="1">IFERROR(__xludf.DUMMYFUNCTION("""COMPUTED_VALUE"""),"ALICE-PERP")</f>
        <v>ALICE-PERP</v>
      </c>
      <c r="C30" s="9" t="str">
        <f ca="1">IFERROR(__xludf.DUMMYFUNCTION("""COMPUTED_VALUE"""),"#N/A")</f>
        <v>#N/A</v>
      </c>
    </row>
    <row r="31" spans="1:3">
      <c r="A31" s="9"/>
      <c r="B31" s="9"/>
      <c r="C31" s="9"/>
    </row>
    <row r="32" spans="1:3">
      <c r="A32" s="9" t="str">
        <f ca="1">IFERROR(__xludf.DUMMYFUNCTION("""COMPUTED_VALUE"""),"Cash and Carry")</f>
        <v>Cash and Carry</v>
      </c>
      <c r="B32" s="9" t="str">
        <f ca="1">IFERROR(__xludf.DUMMYFUNCTION("""COMPUTED_VALUE"""),"MANA/USD")</f>
        <v>MANA/USD</v>
      </c>
      <c r="C32" s="9"/>
    </row>
    <row r="33" spans="1:3">
      <c r="A33" s="9" t="str">
        <f ca="1">IFERROR(__xludf.DUMMYFUNCTION("""COMPUTED_VALUE"""),"Cash and Carry")</f>
        <v>Cash and Carry</v>
      </c>
      <c r="B33" s="9" t="str">
        <f ca="1">IFERROR(__xludf.DUMMYFUNCTION("""COMPUTED_VALUE"""),"MANA-PERP")</f>
        <v>MANA-PERP</v>
      </c>
      <c r="C33" s="30">
        <f ca="1">IFERROR(__xludf.DUMMYFUNCTION("""COMPUTED_VALUE"""),-0.58692)</f>
        <v>-0.58692</v>
      </c>
    </row>
    <row r="34" spans="1:3">
      <c r="A34" s="9"/>
      <c r="B34" s="9"/>
      <c r="C34" s="9"/>
    </row>
    <row r="35" spans="1:3">
      <c r="A35" s="9" t="str">
        <f ca="1">IFERROR(__xludf.DUMMYFUNCTION("""COMPUTED_VALUE"""),"Cash and Carry")</f>
        <v>Cash and Carry</v>
      </c>
      <c r="B35" s="9" t="str">
        <f ca="1">IFERROR(__xludf.DUMMYFUNCTION("""COMPUTED_VALUE"""),"SOL/USD")</f>
        <v>SOL/USD</v>
      </c>
      <c r="C35" s="9"/>
    </row>
    <row r="36" spans="1:3">
      <c r="A36" s="9" t="str">
        <f ca="1">IFERROR(__xludf.DUMMYFUNCTION("""COMPUTED_VALUE"""),"Cash and Carry")</f>
        <v>Cash and Carry</v>
      </c>
      <c r="B36" s="9" t="str">
        <f ca="1">IFERROR(__xludf.DUMMYFUNCTION("""COMPUTED_VALUE"""),"SOL-PERP")</f>
        <v>SOL-PERP</v>
      </c>
      <c r="C36" s="30">
        <f ca="1">IFERROR(__xludf.DUMMYFUNCTION("""COMPUTED_VALUE"""),-0.12264)</f>
        <v>-0.12264</v>
      </c>
    </row>
    <row r="37" spans="1:3">
      <c r="A37" s="9"/>
      <c r="B37" s="9"/>
      <c r="C37" s="9"/>
    </row>
    <row r="38" spans="1:3">
      <c r="A38" s="9" t="str">
        <f ca="1">IFERROR(__xludf.DUMMYFUNCTION("""COMPUTED_VALUE"""),"Cash and Carry")</f>
        <v>Cash and Carry</v>
      </c>
      <c r="B38" s="9" t="str">
        <f ca="1">IFERROR(__xludf.DUMMYFUNCTION("""COMPUTED_VALUE"""),"FTM/USD")</f>
        <v>FTM/USD</v>
      </c>
      <c r="C38" s="9"/>
    </row>
    <row r="39" spans="1:3">
      <c r="A39" s="9" t="str">
        <f ca="1">IFERROR(__xludf.DUMMYFUNCTION("""COMPUTED_VALUE"""),"Cash and Carry")</f>
        <v>Cash and Carry</v>
      </c>
      <c r="B39" s="9" t="str">
        <f ca="1">IFERROR(__xludf.DUMMYFUNCTION("""COMPUTED_VALUE"""),"FTM-PERP")</f>
        <v>FTM-PERP</v>
      </c>
      <c r="C39" s="30">
        <f ca="1">IFERROR(__xludf.DUMMYFUNCTION("""COMPUTED_VALUE"""),-0.90228)</f>
        <v>-0.90227999999999997</v>
      </c>
    </row>
    <row r="40" spans="1:3">
      <c r="A40" s="9"/>
      <c r="B40" s="9"/>
      <c r="C40" s="9"/>
    </row>
    <row r="41" spans="1:3">
      <c r="A41" s="9" t="str">
        <f ca="1">IFERROR(__xludf.DUMMYFUNCTION("""COMPUTED_VALUE"""),"Cash and Carry")</f>
        <v>Cash and Carry</v>
      </c>
      <c r="B41" s="9" t="str">
        <f ca="1">IFERROR(__xludf.DUMMYFUNCTION("""COMPUTED_VALUE"""),"LRC/USD")</f>
        <v>LRC/USD</v>
      </c>
      <c r="C41" s="9"/>
    </row>
    <row r="42" spans="1:3">
      <c r="A42" s="9" t="str">
        <f ca="1">IFERROR(__xludf.DUMMYFUNCTION("""COMPUTED_VALUE"""),"Cash and Carry")</f>
        <v>Cash and Carry</v>
      </c>
      <c r="B42" s="9" t="str">
        <f ca="1">IFERROR(__xludf.DUMMYFUNCTION("""COMPUTED_VALUE"""),"LRC-PERP")</f>
        <v>LRC-PERP</v>
      </c>
      <c r="C42" s="9"/>
    </row>
    <row r="43" spans="1:3">
      <c r="A43" s="9"/>
      <c r="B43" s="9"/>
      <c r="C43" s="9"/>
    </row>
    <row r="44" spans="1:3">
      <c r="A44" s="9" t="str">
        <f ca="1">IFERROR(__xludf.DUMMYFUNCTION("""COMPUTED_VALUE"""),"Cash and Carry")</f>
        <v>Cash and Carry</v>
      </c>
      <c r="B44" s="9" t="str">
        <f ca="1">IFERROR(__xludf.DUMMYFUNCTION("""COMPUTED_VALUE"""),"BOBA/USD")</f>
        <v>BOBA/USD</v>
      </c>
      <c r="C44" s="9"/>
    </row>
    <row r="45" spans="1:3">
      <c r="A45" s="9" t="str">
        <f ca="1">IFERROR(__xludf.DUMMYFUNCTION("""COMPUTED_VALUE"""),"Cash and Carry")</f>
        <v>Cash and Carry</v>
      </c>
      <c r="B45" s="9" t="str">
        <f ca="1">IFERROR(__xludf.DUMMYFUNCTION("""COMPUTED_VALUE"""),"BOBA-PERP")</f>
        <v>BOBA-PERP</v>
      </c>
      <c r="C45" s="30">
        <f ca="1">IFERROR(__xludf.DUMMYFUNCTION("""COMPUTED_VALUE"""),0)</f>
        <v>0</v>
      </c>
    </row>
    <row r="46" spans="1:3">
      <c r="A46" s="9"/>
      <c r="B46" s="9"/>
      <c r="C46" s="9"/>
    </row>
    <row r="47" spans="1:3">
      <c r="A47" s="9" t="str">
        <f ca="1">IFERROR(__xludf.DUMMYFUNCTION("""COMPUTED_VALUE"""),"Cash and Carry")</f>
        <v>Cash and Carry</v>
      </c>
      <c r="B47" s="9" t="str">
        <f ca="1">IFERROR(__xludf.DUMMYFUNCTION("""COMPUTED_VALUE"""),"MATIC/USD")</f>
        <v>MATIC/USD</v>
      </c>
      <c r="C47" s="9"/>
    </row>
    <row r="48" spans="1:3">
      <c r="A48" s="9" t="str">
        <f ca="1">IFERROR(__xludf.DUMMYFUNCTION("""COMPUTED_VALUE"""),"Cash and Carry")</f>
        <v>Cash and Carry</v>
      </c>
      <c r="B48" s="9" t="str">
        <f ca="1">IFERROR(__xludf.DUMMYFUNCTION("""COMPUTED_VALUE"""),"MATIC-PERP")</f>
        <v>MATIC-PERP</v>
      </c>
      <c r="C48" s="9"/>
    </row>
    <row r="49" spans="1:3">
      <c r="A49" s="9"/>
      <c r="B49" s="9"/>
      <c r="C49" s="9"/>
    </row>
    <row r="50" spans="1:3">
      <c r="A50" s="9"/>
      <c r="B50" s="9" t="str">
        <f ca="1">IFERROR(__xludf.DUMMYFUNCTION("""COMPUTED_VALUE"""),"USD")</f>
        <v>USD</v>
      </c>
      <c r="C50" s="30">
        <f ca="1">IFERROR(__xludf.DUMMYFUNCTION("""COMPUTED_VALUE"""),0.0430356899999999)</f>
        <v>4.3035689999999897E-2</v>
      </c>
    </row>
    <row r="51" spans="1:3">
      <c r="A51" s="9"/>
      <c r="B51" s="9" t="str">
        <f ca="1">IFERROR(__xludf.DUMMYFUNCTION("""COMPUTED_VALUE"""),"USDT ERC20")</f>
        <v>USDT ERC20</v>
      </c>
      <c r="C51" s="9"/>
    </row>
    <row r="52" spans="1:3">
      <c r="A52" s="9"/>
      <c r="B52" s="9" t="str">
        <f ca="1">IFERROR(__xludf.DUMMYFUNCTION("""COMPUTED_VALUE"""),"OMG")</f>
        <v>OMG</v>
      </c>
      <c r="C52" s="9"/>
    </row>
    <row r="53" spans="1:3">
      <c r="A53" s="9" t="str">
        <f ca="1">IFERROR(__xludf.DUMMYFUNCTION("""COMPUTED_VALUE"""),"Cash and Carry")</f>
        <v>Cash and Carry</v>
      </c>
      <c r="B53" s="9"/>
      <c r="C53" s="30">
        <f ca="1">IFERROR(__xludf.DUMMYFUNCTION("""COMPUTED_VALUE"""),-0.0134652529106133)</f>
        <v>-1.3465252910613301E-2</v>
      </c>
    </row>
    <row r="54" spans="1:3">
      <c r="A54" s="9"/>
      <c r="B54" s="9"/>
      <c r="C54" s="9"/>
    </row>
    <row r="55" spans="1:3">
      <c r="A55" s="9" t="str">
        <f ca="1">IFERROR(__xludf.DUMMYFUNCTION("""COMPUTED_VALUE"""),"Futures Funding")</f>
        <v>Futures Funding</v>
      </c>
      <c r="B55" s="9" t="str">
        <f ca="1">IFERROR(__xludf.DUMMYFUNCTION("""COMPUTED_VALUE"""),"BTC-1231")</f>
        <v>BTC-1231</v>
      </c>
      <c r="C55" s="30">
        <f ca="1">IFERROR(__xludf.DUMMYFUNCTION("""COMPUTED_VALUE"""),0.0431456246921687)</f>
        <v>4.3145624692168698E-2</v>
      </c>
    </row>
    <row r="56" spans="1:3">
      <c r="A56" s="9" t="str">
        <f ca="1">IFERROR(__xludf.DUMMYFUNCTION("""COMPUTED_VALUE"""),"Futures Funding")</f>
        <v>Futures Funding</v>
      </c>
      <c r="B56" s="9" t="str">
        <f ca="1">IFERROR(__xludf.DUMMYFUNCTION("""COMPUTED_VALUE"""),"BTC/USD")</f>
        <v>BTC/USD</v>
      </c>
      <c r="C56" s="9"/>
    </row>
    <row r="57" spans="1:3">
      <c r="A57" s="9"/>
      <c r="B57" s="9"/>
      <c r="C57" s="9"/>
    </row>
    <row r="58" spans="1:3">
      <c r="A58" s="9" t="str">
        <f ca="1">IFERROR(__xludf.DUMMYFUNCTION("""COMPUTED_VALUE"""),"Futures Funding")</f>
        <v>Futures Funding</v>
      </c>
      <c r="B58" s="9" t="str">
        <f ca="1">IFERROR(__xludf.DUMMYFUNCTION("""COMPUTED_VALUE"""),"BTC-0325")</f>
        <v>BTC-0325</v>
      </c>
      <c r="C58" s="30">
        <f ca="1">IFERROR(__xludf.DUMMYFUNCTION("""COMPUTED_VALUE"""),0.0928144256778652)</f>
        <v>9.28144256778652E-2</v>
      </c>
    </row>
    <row r="59" spans="1:3">
      <c r="A59" s="9" t="str">
        <f ca="1">IFERROR(__xludf.DUMMYFUNCTION("""COMPUTED_VALUE"""),"Futures Funding")</f>
        <v>Futures Funding</v>
      </c>
      <c r="B59" s="9" t="str">
        <f ca="1">IFERROR(__xludf.DUMMYFUNCTION("""COMPUTED_VALUE"""),"BTC/USD")</f>
        <v>BTC/USD</v>
      </c>
      <c r="C59" s="9"/>
    </row>
    <row r="60" spans="1:3">
      <c r="A60" s="9"/>
      <c r="B60" s="9"/>
      <c r="C60" s="9"/>
    </row>
    <row r="61" spans="1:3">
      <c r="A61" s="9" t="str">
        <f ca="1">IFERROR(__xludf.DUMMYFUNCTION("""COMPUTED_VALUE"""),"Futures Funding")</f>
        <v>Futures Funding</v>
      </c>
      <c r="B61" s="9" t="str">
        <f ca="1">IFERROR(__xludf.DUMMYFUNCTION("""COMPUTED_VALUE"""),"ETH-0325")</f>
        <v>ETH-0325</v>
      </c>
      <c r="C61" s="30">
        <f ca="1">IFERROR(__xludf.DUMMYFUNCTION("""COMPUTED_VALUE"""),0.100877163064136)</f>
        <v>0.10087716306413599</v>
      </c>
    </row>
    <row r="62" spans="1:3">
      <c r="A62" s="9" t="str">
        <f ca="1">IFERROR(__xludf.DUMMYFUNCTION("""COMPUTED_VALUE"""),"Futures Funding")</f>
        <v>Futures Funding</v>
      </c>
      <c r="B62" s="9" t="str">
        <f ca="1">IFERROR(__xludf.DUMMYFUNCTION("""COMPUTED_VALUE"""),"ETH/USD")</f>
        <v>ETH/USD</v>
      </c>
      <c r="C62" s="9"/>
    </row>
    <row r="63" spans="1:3">
      <c r="A63" s="9"/>
      <c r="B63" s="9"/>
      <c r="C63" s="9"/>
    </row>
    <row r="64" spans="1:3">
      <c r="A64" s="9" t="str">
        <f ca="1">IFERROR(__xludf.DUMMYFUNCTION("""COMPUTED_VALUE"""),"Futures Funding")</f>
        <v>Futures Funding</v>
      </c>
      <c r="B64" s="9"/>
      <c r="C64" s="9"/>
    </row>
    <row r="65" spans="1:3">
      <c r="A65" s="9"/>
      <c r="B65" s="9"/>
      <c r="C65" s="9"/>
    </row>
    <row r="66" spans="1:3">
      <c r="A66" s="9" t="str">
        <f ca="1">IFERROR(__xludf.DUMMYFUNCTION("""COMPUTED_VALUE"""),"Directional Trading 2")</f>
        <v>Directional Trading 2</v>
      </c>
      <c r="B66" s="9" t="str">
        <f ca="1">IFERROR(__xludf.DUMMYFUNCTION("""COMPUTED_VALUE"""),"BTC/USD")</f>
        <v>BTC/USD</v>
      </c>
      <c r="C66" s="9"/>
    </row>
    <row r="67" spans="1:3">
      <c r="A67" s="9"/>
      <c r="B67" s="9" t="str">
        <f ca="1">IFERROR(__xludf.DUMMYFUNCTION("""COMPUTED_VALUE"""),"BTC-PERP")</f>
        <v>BTC-PERP</v>
      </c>
      <c r="C67" s="9"/>
    </row>
    <row r="68" spans="1:3">
      <c r="A68" s="9"/>
      <c r="B68" s="9" t="str">
        <f ca="1">IFERROR(__xludf.DUMMYFUNCTION("""COMPUTED_VALUE"""),"Funding")</f>
        <v>Funding</v>
      </c>
      <c r="C68" s="9"/>
    </row>
    <row r="69" spans="1:3">
      <c r="A69" s="9"/>
      <c r="B69" s="9" t="str">
        <f ca="1">IFERROR(__xludf.DUMMYFUNCTION("""COMPUTED_VALUE"""),"ETH/USD")</f>
        <v>ETH/USD</v>
      </c>
      <c r="C69" s="9"/>
    </row>
    <row r="70" spans="1:3">
      <c r="A70" s="9"/>
      <c r="B70" s="9" t="str">
        <f ca="1">IFERROR(__xludf.DUMMYFUNCTION("""COMPUTED_VALUE"""),"ETH-PERP")</f>
        <v>ETH-PERP</v>
      </c>
      <c r="C70" s="9"/>
    </row>
    <row r="71" spans="1:3">
      <c r="A71" s="9"/>
      <c r="B71" s="9" t="str">
        <f ca="1">IFERROR(__xludf.DUMMYFUNCTION("""COMPUTED_VALUE"""),"Funding")</f>
        <v>Funding</v>
      </c>
      <c r="C71" s="9"/>
    </row>
    <row r="72" spans="1:3">
      <c r="A72" s="9"/>
      <c r="B72" s="9" t="str">
        <f ca="1">IFERROR(__xludf.DUMMYFUNCTION("""COMPUTED_VALUE"""),"USD")</f>
        <v>USD</v>
      </c>
      <c r="C72" s="9"/>
    </row>
    <row r="73" spans="1:3">
      <c r="A73" s="9"/>
      <c r="B73" s="9"/>
      <c r="C73" s="9"/>
    </row>
    <row r="74" spans="1:3">
      <c r="A74" s="9" t="str">
        <f ca="1">IFERROR(__xludf.DUMMYFUNCTION("""COMPUTED_VALUE"""),"Directional Trading 2")</f>
        <v>Directional Trading 2</v>
      </c>
      <c r="B74" s="9"/>
      <c r="C74" s="9"/>
    </row>
    <row r="75" spans="1:3">
      <c r="A75" s="9"/>
      <c r="B75" s="9"/>
      <c r="C75" s="9"/>
    </row>
    <row r="76" spans="1:3">
      <c r="A76" s="9" t="str">
        <f ca="1">IFERROR(__xludf.DUMMYFUNCTION("""COMPUTED_VALUE"""),"Futures Market Making")</f>
        <v>Futures Market Making</v>
      </c>
      <c r="B76" s="9" t="str">
        <f ca="1">IFERROR(__xludf.DUMMYFUNCTION("""COMPUTED_VALUE"""),"BTC-PERP")</f>
        <v>BTC-PERP</v>
      </c>
      <c r="C76" s="9"/>
    </row>
    <row r="77" spans="1:3">
      <c r="A77" s="9"/>
      <c r="B77" s="9" t="str">
        <f ca="1">IFERROR(__xludf.DUMMYFUNCTION("""COMPUTED_VALUE"""),"Funding")</f>
        <v>Funding</v>
      </c>
      <c r="C77" s="9"/>
    </row>
    <row r="78" spans="1:3">
      <c r="A78" s="9" t="str">
        <f ca="1">IFERROR(__xludf.DUMMYFUNCTION("""COMPUTED_VALUE"""),"Futures Market Making")</f>
        <v>Futures Market Making</v>
      </c>
      <c r="B78" s="9" t="str">
        <f ca="1">IFERROR(__xludf.DUMMYFUNCTION("""COMPUTED_VALUE"""),"ETH-PERP")</f>
        <v>ETH-PERP</v>
      </c>
      <c r="C78" s="9"/>
    </row>
    <row r="79" spans="1:3">
      <c r="A79" s="9"/>
      <c r="B79" s="9" t="str">
        <f ca="1">IFERROR(__xludf.DUMMYFUNCTION("""COMPUTED_VALUE"""),"Funding")</f>
        <v>Funding</v>
      </c>
      <c r="C79" s="9"/>
    </row>
    <row r="80" spans="1:3">
      <c r="A80" s="9"/>
      <c r="B80" s="9" t="str">
        <f ca="1">IFERROR(__xludf.DUMMYFUNCTION("""COMPUTED_VALUE"""),"USD")</f>
        <v>USD</v>
      </c>
      <c r="C80" s="9"/>
    </row>
    <row r="81" spans="1:3">
      <c r="A81" s="9"/>
      <c r="B81" s="9"/>
      <c r="C81" s="9"/>
    </row>
    <row r="82" spans="1:3">
      <c r="A82" s="9"/>
      <c r="B82" s="9"/>
      <c r="C82" s="9"/>
    </row>
    <row r="83" spans="1:3">
      <c r="A83" s="9"/>
      <c r="B83" s="9"/>
      <c r="C83" s="9"/>
    </row>
    <row r="84" spans="1:3">
      <c r="A84" s="9"/>
      <c r="B84" s="9"/>
      <c r="C84" s="9"/>
    </row>
    <row r="85" spans="1:3">
      <c r="A85" s="9" t="str">
        <f ca="1">IFERROR(__xludf.DUMMYFUNCTION("""COMPUTED_VALUE"""),"Futures Market Making")</f>
        <v>Futures Market Making</v>
      </c>
      <c r="B85" s="9"/>
      <c r="C85" s="30">
        <f ca="1">IFERROR(__xludf.DUMMYFUNCTION("""COMPUTED_VALUE"""),-3.04113264182138)</f>
        <v>-3.0411326418213802</v>
      </c>
    </row>
    <row r="86" spans="1:3">
      <c r="A86" s="9"/>
      <c r="B86" s="9"/>
      <c r="C86" s="9"/>
    </row>
    <row r="87" spans="1:3">
      <c r="A87" s="9" t="str">
        <f ca="1">IFERROR(__xludf.DUMMYFUNCTION("""COMPUTED_VALUE"""),"Spot Margin Lending")</f>
        <v>Spot Margin Lending</v>
      </c>
      <c r="B87" s="9"/>
      <c r="C87" s="9"/>
    </row>
    <row r="88" spans="1:3">
      <c r="A88" s="9"/>
      <c r="B88" s="9"/>
      <c r="C88" s="9"/>
    </row>
    <row r="89" spans="1:3">
      <c r="A89" s="9"/>
      <c r="B89" s="9"/>
      <c r="C89" s="9"/>
    </row>
    <row r="90" spans="1:3">
      <c r="A90" s="9"/>
      <c r="B90" s="9"/>
      <c r="C90" s="9"/>
    </row>
    <row r="91" spans="1:3">
      <c r="A91" s="9"/>
      <c r="B91" s="9"/>
      <c r="C91" s="9"/>
    </row>
    <row r="92" spans="1:3">
      <c r="A92" s="9"/>
      <c r="B92" s="9"/>
      <c r="C92" s="9"/>
    </row>
    <row r="93" spans="1:3">
      <c r="A93" s="9" t="str">
        <f ca="1">IFERROR(__xludf.DUMMYFUNCTION("""COMPUTED_VALUE"""),"Jacob")</f>
        <v>Jacob</v>
      </c>
      <c r="B93" s="9"/>
      <c r="C93" s="9"/>
    </row>
    <row r="94" spans="1:3">
      <c r="A94" s="9"/>
      <c r="B94" s="9"/>
      <c r="C94" s="9"/>
    </row>
    <row r="95" spans="1:3">
      <c r="A95" s="9" t="str">
        <f ca="1">IFERROR(__xludf.DUMMYFUNCTION("""COMPUTED_VALUE"""),"Solana - CeFi")</f>
        <v>Solana - CeFi</v>
      </c>
      <c r="B95" s="9" t="str">
        <f ca="1">IFERROR(__xludf.DUMMYFUNCTION("""COMPUTED_VALUE"""),"ATLAS/USD")</f>
        <v>ATLAS/USD</v>
      </c>
      <c r="C95" s="9"/>
    </row>
    <row r="96" spans="1:3">
      <c r="A96" s="9"/>
      <c r="B96" s="9" t="str">
        <f ca="1">IFERROR(__xludf.DUMMYFUNCTION("""COMPUTED_VALUE"""),"ATLAS-PERP")</f>
        <v>ATLAS-PERP</v>
      </c>
      <c r="C96" s="9"/>
    </row>
    <row r="97" spans="1:3">
      <c r="A97" s="9"/>
      <c r="B97" s="9" t="str">
        <f ca="1">IFERROR(__xludf.DUMMYFUNCTION("""COMPUTED_VALUE"""),"Funding")</f>
        <v>Funding</v>
      </c>
      <c r="C97" s="30">
        <f ca="1">IFERROR(__xludf.DUMMYFUNCTION("""COMPUTED_VALUE"""),-1.76615076923076)</f>
        <v>-1.7661507692307601</v>
      </c>
    </row>
    <row r="98" spans="1:3">
      <c r="A98" s="9"/>
      <c r="B98" s="9" t="str">
        <f ca="1">IFERROR(__xludf.DUMMYFUNCTION("""COMPUTED_VALUE"""),"POLIS/USD")</f>
        <v>POLIS/USD</v>
      </c>
      <c r="C98" s="9"/>
    </row>
    <row r="99" spans="1:3">
      <c r="A99" s="9"/>
      <c r="B99" s="9" t="str">
        <f ca="1">IFERROR(__xludf.DUMMYFUNCTION("""COMPUTED_VALUE"""),"POLIS-PERP")</f>
        <v>POLIS-PERP</v>
      </c>
      <c r="C99" s="9"/>
    </row>
    <row r="100" spans="1:3">
      <c r="A100" s="9"/>
      <c r="B100" s="9" t="str">
        <f ca="1">IFERROR(__xludf.DUMMYFUNCTION("""COMPUTED_VALUE"""),"Funding")</f>
        <v>Funding</v>
      </c>
      <c r="C100" s="30">
        <f ca="1">IFERROR(__xludf.DUMMYFUNCTION("""COMPUTED_VALUE"""),-0.725732307692307)</f>
        <v>-0.72573230769230701</v>
      </c>
    </row>
    <row r="101" spans="1:3">
      <c r="A101" s="9"/>
      <c r="B101" s="9" t="str">
        <f ca="1">IFERROR(__xludf.DUMMYFUNCTION("""COMPUTED_VALUE"""),"RAY/USD")</f>
        <v>RAY/USD</v>
      </c>
      <c r="C101" s="9"/>
    </row>
    <row r="102" spans="1:3">
      <c r="A102" s="9"/>
      <c r="B102" s="9" t="str">
        <f ca="1">IFERROR(__xludf.DUMMYFUNCTION("""COMPUTED_VALUE"""),"RAY-PERP")</f>
        <v>RAY-PERP</v>
      </c>
      <c r="C102" s="9"/>
    </row>
    <row r="103" spans="1:3">
      <c r="A103" s="9"/>
      <c r="B103" s="9" t="str">
        <f ca="1">IFERROR(__xludf.DUMMYFUNCTION("""COMPUTED_VALUE"""),"Funding")</f>
        <v>Funding</v>
      </c>
      <c r="C103" s="30">
        <f ca="1">IFERROR(__xludf.DUMMYFUNCTION("""COMPUTED_VALUE"""),-1.23516)</f>
        <v>-1.23516</v>
      </c>
    </row>
    <row r="104" spans="1:3">
      <c r="A104" s="9"/>
      <c r="B104" s="9" t="str">
        <f ca="1">IFERROR(__xludf.DUMMYFUNCTION("""COMPUTED_VALUE"""),"OMG")</f>
        <v>OMG</v>
      </c>
      <c r="C104" s="9"/>
    </row>
    <row r="105" spans="1:3">
      <c r="A105" s="9"/>
      <c r="B105" s="9"/>
      <c r="C105" s="9"/>
    </row>
    <row r="106" spans="1:3">
      <c r="A106" s="9" t="str">
        <f ca="1">IFERROR(__xludf.DUMMYFUNCTION("""COMPUTED_VALUE"""),"DeFi")</f>
        <v>DeFi</v>
      </c>
      <c r="B106" s="9" t="str">
        <f ca="1">IFERROR(__xludf.DUMMYFUNCTION("""COMPUTED_VALUE"""),"ATLAS/USD")</f>
        <v>ATLAS/USD</v>
      </c>
      <c r="C106" s="9"/>
    </row>
    <row r="107" spans="1:3">
      <c r="A107" s="9" t="str">
        <f ca="1">IFERROR(__xludf.DUMMYFUNCTION("""COMPUTED_VALUE"""),"(balances)")</f>
        <v>(balances)</v>
      </c>
      <c r="B107" s="9" t="str">
        <f ca="1">IFERROR(__xludf.DUMMYFUNCTION("""COMPUTED_VALUE"""),"POLIS/USD")</f>
        <v>POLIS/USD</v>
      </c>
      <c r="C107" s="9"/>
    </row>
    <row r="108" spans="1:3">
      <c r="A108" s="9"/>
      <c r="B108" s="9" t="str">
        <f ca="1">IFERROR(__xludf.DUMMYFUNCTION("""COMPUTED_VALUE"""),"RAY/USD")</f>
        <v>RAY/USD</v>
      </c>
      <c r="C108" s="9"/>
    </row>
    <row r="109" spans="1:3">
      <c r="A109" s="9"/>
      <c r="B109" s="9"/>
      <c r="C109" s="9"/>
    </row>
    <row r="110" spans="1:3">
      <c r="A110" s="9" t="str">
        <f ca="1">IFERROR(__xludf.DUMMYFUNCTION("""COMPUTED_VALUE"""),"Solana")</f>
        <v>Solana</v>
      </c>
      <c r="B110" s="9"/>
      <c r="C110" s="30" t="str">
        <f ca="1">IFERROR(__xludf.DUMMYFUNCTION("""COMPUTED_VALUE"""),"#N/A")</f>
        <v>#N/A</v>
      </c>
    </row>
    <row r="111" spans="1:3">
      <c r="A111" s="9"/>
      <c r="B111" s="9"/>
      <c r="C111" s="9"/>
    </row>
    <row r="112" spans="1:3">
      <c r="A112" s="9" t="str">
        <f ca="1">IFERROR(__xludf.DUMMYFUNCTION("""COMPUTED_VALUE"""),"CEL")</f>
        <v>CEL</v>
      </c>
      <c r="B112" s="9" t="str">
        <f ca="1">IFERROR(__xludf.DUMMYFUNCTION("""COMPUTED_VALUE"""),"CEL/USD")</f>
        <v>CEL/USD</v>
      </c>
      <c r="C112" s="9"/>
    </row>
    <row r="113" spans="1:3">
      <c r="A113" s="9"/>
      <c r="B113" s="9" t="str">
        <f ca="1">IFERROR(__xludf.DUMMYFUNCTION("""COMPUTED_VALUE"""),"CEL/BTC")</f>
        <v>CEL/BTC</v>
      </c>
      <c r="C113" s="9"/>
    </row>
    <row r="114" spans="1:3">
      <c r="A114" s="9"/>
      <c r="B114" s="9" t="str">
        <f ca="1">IFERROR(__xludf.DUMMYFUNCTION("""COMPUTED_VALUE"""),"BTC/USD")</f>
        <v>BTC/USD</v>
      </c>
      <c r="C114" s="9"/>
    </row>
    <row r="115" spans="1:3">
      <c r="A115" s="9" t="str">
        <f ca="1">IFERROR(__xludf.DUMMYFUNCTION("""COMPUTED_VALUE"""),"Kairon2")</f>
        <v>Kairon2</v>
      </c>
      <c r="B115" s="9" t="str">
        <f ca="1">IFERROR(__xludf.DUMMYFUNCTION("""COMPUTED_VALUE"""),"CEL/USD")</f>
        <v>CEL/USD</v>
      </c>
      <c r="C115" s="9"/>
    </row>
    <row r="116" spans="1:3">
      <c r="A116" s="9"/>
      <c r="B116" s="9" t="str">
        <f ca="1">IFERROR(__xludf.DUMMYFUNCTION("""COMPUTED_VALUE"""),"CEL/BTC")</f>
        <v>CEL/BTC</v>
      </c>
      <c r="C116" s="9"/>
    </row>
    <row r="117" spans="1:3">
      <c r="A117" s="9"/>
      <c r="B117" s="9" t="str">
        <f ca="1">IFERROR(__xludf.DUMMYFUNCTION("""COMPUTED_VALUE"""),"BTC/USD")</f>
        <v>BTC/USD</v>
      </c>
      <c r="C117" s="9"/>
    </row>
    <row r="118" spans="1:3">
      <c r="A118" s="9" t="str">
        <f ca="1">IFERROR(__xludf.DUMMYFUNCTION("""COMPUTED_VALUE"""),"Defi")</f>
        <v>Defi</v>
      </c>
      <c r="B118" s="9" t="str">
        <f ca="1">IFERROR(__xludf.DUMMYFUNCTION("""COMPUTED_VALUE"""),"ETH/USD")</f>
        <v>ETH/USD</v>
      </c>
      <c r="C118" s="9"/>
    </row>
    <row r="119" spans="1:3">
      <c r="A119" s="9"/>
      <c r="B119" s="9" t="str">
        <f ca="1">IFERROR(__xludf.DUMMYFUNCTION("""COMPUTED_VALUE"""),"CEL/USD")</f>
        <v>CEL/USD</v>
      </c>
      <c r="C119" s="9"/>
    </row>
    <row r="120" spans="1:3">
      <c r="A120" s="9"/>
      <c r="B120" s="9"/>
      <c r="C120" s="9"/>
    </row>
    <row r="121" spans="1:3">
      <c r="A121" s="9" t="str">
        <f ca="1">IFERROR(__xludf.DUMMYFUNCTION("""COMPUTED_VALUE"""),"CEL buyback")</f>
        <v>CEL buyback</v>
      </c>
      <c r="B121" s="9"/>
      <c r="C121" s="30">
        <f ca="1">IFERROR(__xludf.DUMMYFUNCTION("""COMPUTED_VALUE"""),0)</f>
        <v>0</v>
      </c>
    </row>
    <row r="122" spans="1:3">
      <c r="A122" s="9"/>
      <c r="B122" s="9"/>
      <c r="C122" s="9"/>
    </row>
    <row r="123" spans="1:3">
      <c r="A123" s="9" t="str">
        <f ca="1">IFERROR(__xludf.DUMMYFUNCTION("""COMPUTED_VALUE"""),"Kairon")</f>
        <v>Kairon</v>
      </c>
      <c r="B123" s="9" t="str">
        <f ca="1">IFERROR(__xludf.DUMMYFUNCTION("""COMPUTED_VALUE"""),"CEL/USD")</f>
        <v>CEL/USD</v>
      </c>
      <c r="C123" s="9"/>
    </row>
    <row r="124" spans="1:3">
      <c r="A124" s="9" t="str">
        <f ca="1">IFERROR(__xludf.DUMMYFUNCTION("""COMPUTED_VALUE"""),"(Market Making)")</f>
        <v>(Market Making)</v>
      </c>
      <c r="B124" s="9" t="str">
        <f ca="1">IFERROR(__xludf.DUMMYFUNCTION("""COMPUTED_VALUE"""),"CEL/BTC")</f>
        <v>CEL/BTC</v>
      </c>
      <c r="C124" s="9"/>
    </row>
    <row r="125" spans="1:3">
      <c r="A125" s="9"/>
      <c r="B125" s="9" t="str">
        <f ca="1">IFERROR(__xludf.DUMMYFUNCTION("""COMPUTED_VALUE"""),"BTC/USD")</f>
        <v>BTC/USD</v>
      </c>
      <c r="C125" s="9"/>
    </row>
    <row r="126" spans="1:3">
      <c r="A126" s="9" t="str">
        <f ca="1">IFERROR(__xludf.DUMMYFUNCTION("""COMPUTED_VALUE"""),"Kairon")</f>
        <v>Kairon</v>
      </c>
      <c r="B126" s="9"/>
      <c r="C126" s="30">
        <f ca="1">IFERROR(__xludf.DUMMYFUNCTION("""COMPUTED_VALUE"""),0.0137669069975398)</f>
        <v>1.37669069975398E-2</v>
      </c>
    </row>
    <row r="127" spans="1:3">
      <c r="A127" s="9"/>
      <c r="B127" s="9"/>
      <c r="C127" s="9"/>
    </row>
    <row r="128" spans="1:3">
      <c r="A128" s="9" t="str">
        <f ca="1">IFERROR(__xludf.DUMMYFUNCTION("""COMPUTED_VALUE"""),"Managment")</f>
        <v>Managment</v>
      </c>
      <c r="B128" s="9" t="str">
        <f ca="1">IFERROR(__xludf.DUMMYFUNCTION("""COMPUTED_VALUE"""),"BTC/USD")</f>
        <v>BTC/USD</v>
      </c>
      <c r="C128" s="9"/>
    </row>
    <row r="129" spans="1:3">
      <c r="A129" s="9"/>
      <c r="B129" s="9" t="str">
        <f ca="1">IFERROR(__xludf.DUMMYFUNCTION("""COMPUTED_VALUE"""),"BADGER/USD")</f>
        <v>BADGER/USD</v>
      </c>
      <c r="C129" s="9"/>
    </row>
    <row r="130" spans="1:3">
      <c r="A130" s="9"/>
      <c r="B130" s="9" t="str">
        <f ca="1">IFERROR(__xludf.DUMMYFUNCTION("""COMPUTED_VALUE"""),"BADGER-PERP")</f>
        <v>BADGER-PERP</v>
      </c>
      <c r="C130" s="9"/>
    </row>
    <row r="131" spans="1:3">
      <c r="A131" s="9"/>
      <c r="B131" s="9" t="str">
        <f ca="1">IFERROR(__xludf.DUMMYFUNCTION("""COMPUTED_VALUE"""),"BOBA/USD")</f>
        <v>BOBA/USD</v>
      </c>
      <c r="C131" s="9"/>
    </row>
    <row r="132" spans="1:3">
      <c r="A132" s="9"/>
      <c r="B132" s="9"/>
      <c r="C132" s="9"/>
    </row>
    <row r="133" spans="1:3">
      <c r="A133" s="9" t="str">
        <f ca="1">IFERROR(__xludf.DUMMYFUNCTION("""COMPUTED_VALUE"""),"Management")</f>
        <v>Management</v>
      </c>
      <c r="B133" s="9"/>
      <c r="C133" s="30" t="str">
        <f ca="1">IFERROR(__xludf.DUMMYFUNCTION("""COMPUTED_VALUE"""),"#VALUE!")</f>
        <v>#VALUE!</v>
      </c>
    </row>
    <row r="134" spans="1:3">
      <c r="A134" s="9"/>
      <c r="B134" s="9"/>
      <c r="C134" s="9"/>
    </row>
    <row r="135" spans="1:3">
      <c r="A135" s="9" t="str">
        <f ca="1">IFERROR(__xludf.DUMMYFUNCTION("""COMPUTED_VALUE"""),"Grayscale")</f>
        <v>Grayscale</v>
      </c>
      <c r="B135" s="9"/>
      <c r="C135" s="9"/>
    </row>
    <row r="136" spans="1:3">
      <c r="A136" s="9" t="str">
        <f ca="1">IFERROR(__xludf.DUMMYFUNCTION("""COMPUTED_VALUE"""),"Grayscale")</f>
        <v>Grayscale</v>
      </c>
      <c r="B136" s="9"/>
      <c r="C136" s="9"/>
    </row>
    <row r="137" spans="1:3">
      <c r="A137" s="9"/>
      <c r="B137" s="9"/>
      <c r="C137" s="9"/>
    </row>
    <row r="138" spans="1:3">
      <c r="A138" s="9" t="str">
        <f ca="1">IFERROR(__xludf.DUMMYFUNCTION("""COMPUTED_VALUE"""),"Grayscale")</f>
        <v>Grayscale</v>
      </c>
      <c r="B138" s="9"/>
      <c r="C138" s="30" t="str">
        <f ca="1">IFERROR(__xludf.DUMMYFUNCTION("""COMPUTED_VALUE"""),"#DIV/0!")</f>
        <v>#DIV/0!</v>
      </c>
    </row>
    <row r="139" spans="1:3">
      <c r="A139" s="9"/>
      <c r="B139" s="9"/>
      <c r="C139" s="9"/>
    </row>
    <row r="140" spans="1:3">
      <c r="A140" s="9" t="str">
        <f ca="1">IFERROR(__xludf.DUMMYFUNCTION("""COMPUTED_VALUE"""),"Management")</f>
        <v>Management</v>
      </c>
      <c r="B140" s="9"/>
      <c r="C140" s="9"/>
    </row>
    <row r="141" spans="1:3">
      <c r="A141" s="9" t="str">
        <f ca="1">IFERROR(__xludf.DUMMYFUNCTION("""COMPUTED_VALUE"""),"Management")</f>
        <v>Management</v>
      </c>
      <c r="B141" s="9"/>
      <c r="C141" s="9"/>
    </row>
    <row r="142" spans="1:3">
      <c r="A142" s="9"/>
      <c r="B142" s="9"/>
      <c r="C142" s="9"/>
    </row>
    <row r="143" spans="1:3">
      <c r="A143" s="9" t="str">
        <f ca="1">IFERROR(__xludf.DUMMYFUNCTION("""COMPUTED_VALUE"""),"Management")</f>
        <v>Management</v>
      </c>
      <c r="B143" s="9"/>
      <c r="C143" s="30" t="str">
        <f ca="1">IFERROR(__xludf.DUMMYFUNCTION("""COMPUTED_VALUE"""),"#DIV/0!")</f>
        <v>#DIV/0!</v>
      </c>
    </row>
    <row r="144" spans="1:3">
      <c r="A144" s="9"/>
      <c r="B144" s="9"/>
      <c r="C144" s="9"/>
    </row>
    <row r="145" spans="1:3">
      <c r="A145" s="9" t="str">
        <f ca="1">IFERROR(__xludf.DUMMYFUNCTION("""COMPUTED_VALUE"""),"FTX Borrow")</f>
        <v>FTX Borrow</v>
      </c>
      <c r="B145" s="9" t="str">
        <f ca="1">IFERROR(__xludf.DUMMYFUNCTION("""COMPUTED_VALUE"""),"USD")</f>
        <v>USD</v>
      </c>
      <c r="C145" s="30">
        <f ca="1">IFERROR(__xludf.DUMMYFUNCTION("""COMPUTED_VALUE"""),0.0529967833333333)</f>
        <v>5.2996783333333297E-2</v>
      </c>
    </row>
    <row r="146" spans="1:3">
      <c r="A146" s="9"/>
      <c r="B146" s="9"/>
      <c r="C146" s="9"/>
    </row>
    <row r="147" spans="1:3">
      <c r="A147" s="9"/>
      <c r="B147" s="9"/>
      <c r="C147" s="9"/>
    </row>
    <row r="148" spans="1:3">
      <c r="A148" s="9" t="str">
        <f ca="1">IFERROR(__xludf.DUMMYFUNCTION("""COMPUTED_VALUE"""),"FTX Borrow")</f>
        <v>FTX Borrow</v>
      </c>
      <c r="B148" s="9"/>
      <c r="C148" s="30">
        <f ca="1">IFERROR(__xludf.DUMMYFUNCTION("""COMPUTED_VALUE"""),-0.000621071630377049)</f>
        <v>-6.2107163037704901E-4</v>
      </c>
    </row>
    <row r="149" spans="1:3">
      <c r="A149" s="9"/>
      <c r="B149" s="9"/>
      <c r="C149" s="9"/>
    </row>
    <row r="150" spans="1:3">
      <c r="A150" s="9"/>
      <c r="B150" s="9"/>
      <c r="C150" s="9"/>
    </row>
    <row r="151" spans="1:3">
      <c r="A151" s="9"/>
      <c r="B151" s="9"/>
      <c r="C151" s="30">
        <f ca="1">IFERROR(__xludf.DUMMYFUNCTION("""COMPUTED_VALUE"""),-0.296418667397612)</f>
        <v>-0.29641866739761202</v>
      </c>
    </row>
    <row r="152" spans="1:3">
      <c r="A152" s="9"/>
      <c r="B152" s="9"/>
      <c r="C152" s="9"/>
    </row>
    <row r="153" spans="1:3">
      <c r="A153" s="9"/>
      <c r="B153" s="9"/>
      <c r="C153" s="9"/>
    </row>
    <row r="154" spans="1:3">
      <c r="A154" s="9"/>
      <c r="B154" s="9"/>
      <c r="C154" s="9"/>
    </row>
    <row r="155" spans="1:3">
      <c r="A155" s="9"/>
      <c r="B155" s="9"/>
      <c r="C155" s="9"/>
    </row>
    <row r="156" spans="1:3">
      <c r="A156" s="9" t="str">
        <f ca="1">IFERROR(__xludf.DUMMYFUNCTION("""COMPUTED_VALUE"""),"Bitfinex")</f>
        <v>Bitfinex</v>
      </c>
      <c r="B156" s="9" t="str">
        <f ca="1">IFERROR(__xludf.DUMMYFUNCTION("""COMPUTED_VALUE"""),"Contract")</f>
        <v>Contract</v>
      </c>
      <c r="C156" s="9"/>
    </row>
    <row r="157" spans="1:3">
      <c r="A157" s="9" t="str">
        <f ca="1">IFERROR(__xludf.DUMMYFUNCTION("""COMPUTED_VALUE"""),"BOT")</f>
        <v>BOT</v>
      </c>
      <c r="B157" s="9" t="str">
        <f ca="1">IFERROR(__xludf.DUMMYFUNCTION("""COMPUTED_VALUE"""),"ADA")</f>
        <v>ADA</v>
      </c>
      <c r="C157" s="9"/>
    </row>
    <row r="158" spans="1:3">
      <c r="A158" s="9"/>
      <c r="B158" s="9" t="str">
        <f ca="1">IFERROR(__xludf.DUMMYFUNCTION("""COMPUTED_VALUE"""),"ALGO")</f>
        <v>ALGO</v>
      </c>
      <c r="C158" s="9"/>
    </row>
    <row r="159" spans="1:3">
      <c r="A159" s="9"/>
      <c r="B159" s="9" t="str">
        <f ca="1">IFERROR(__xludf.DUMMYFUNCTION("""COMPUTED_VALUE"""),"BCHN")</f>
        <v>BCHN</v>
      </c>
      <c r="C159" s="9"/>
    </row>
    <row r="160" spans="1:3">
      <c r="A160" s="9"/>
      <c r="B160" s="9" t="str">
        <f ca="1">IFERROR(__xludf.DUMMYFUNCTION("""COMPUTED_VALUE"""),"BSV")</f>
        <v>BSV</v>
      </c>
      <c r="C160" s="9"/>
    </row>
    <row r="161" spans="1:3">
      <c r="A161" s="9"/>
      <c r="B161" s="9" t="str">
        <f ca="1">IFERROR(__xludf.DUMMYFUNCTION("""COMPUTED_VALUE"""),"BTC")</f>
        <v>BTC</v>
      </c>
      <c r="C161" s="9"/>
    </row>
    <row r="162" spans="1:3">
      <c r="A162" s="9"/>
      <c r="B162" s="9" t="str">
        <f ca="1">IFERROR(__xludf.DUMMYFUNCTION("""COMPUTED_VALUE"""),"BTG")</f>
        <v>BTG</v>
      </c>
      <c r="C162" s="9"/>
    </row>
    <row r="163" spans="1:3">
      <c r="A163" s="9"/>
      <c r="B163" s="9" t="str">
        <f ca="1">IFERROR(__xludf.DUMMYFUNCTION("""COMPUTED_VALUE"""),"DASH")</f>
        <v>DASH</v>
      </c>
      <c r="C163" s="9"/>
    </row>
    <row r="164" spans="1:3">
      <c r="A164" s="9"/>
      <c r="B164" s="9" t="str">
        <f ca="1">IFERROR(__xludf.DUMMYFUNCTION("""COMPUTED_VALUE"""),"EOS")</f>
        <v>EOS</v>
      </c>
      <c r="C16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APY</vt:lpstr>
      <vt:lpstr>Liqudity tiers</vt:lpstr>
      <vt:lpstr>tier mapping</vt:lpstr>
      <vt:lpstr>COFA</vt:lpstr>
      <vt:lpstr>COFA - live</vt:lpstr>
      <vt:lpstr>Inst Lending numbers</vt:lpstr>
      <vt:lpstr>Weekly Rates</vt:lpstr>
      <vt:lpstr>Import from defimon</vt:lpstr>
      <vt:lpstr>Import_from_CeFi_dashboard</vt:lpstr>
      <vt:lpstr>EAM</vt:lpstr>
      <vt:lpstr>New Tiers</vt:lpstr>
      <vt:lpstr>Blank APYs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 Choukroun</cp:lastModifiedBy>
  <dcterms:created xsi:type="dcterms:W3CDTF">2021-12-06T16:16:33Z</dcterms:created>
  <dcterms:modified xsi:type="dcterms:W3CDTF">2021-12-06T16:40:39Z</dcterms:modified>
</cp:coreProperties>
</file>